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shboard" state="visible" r:id="rId4"/>
    <sheet sheetId="2" name="Scoring" state="visible" r:id="rId5"/>
    <sheet sheetId="3" name="Comparison" state="visible" r:id="rId6"/>
    <sheet sheetId="4" name="Ongoing costs" state="visible" r:id="rId7"/>
    <sheet sheetId="5" name="Pros and cons" state="visible" r:id="rId8"/>
    <sheet sheetId="6" name="Sources and method" state="visible" r:id="rId9"/>
  </sheets>
  <calcPr calcId="171027"/>
</workbook>
</file>

<file path=xl/sharedStrings.xml><?xml version="1.0" encoding="utf-8"?>
<sst xmlns="http://schemas.openxmlformats.org/spreadsheetml/2006/main" count="780" uniqueCount="417">
  <si>
    <t>Port Melbourne apartment shortlist</t>
  </si>
  <si>
    <t>Ten apartments on realestate.com.au, reviewed 2 September 2026. Generated 2 September 2026, 9:00 am.</t>
  </si>
  <si>
    <t>Priorities applied, in your order: 1. Price   2. Distance to Port Melbourne Beach   3. Floor area   4. Bedrooms   5. Car parking   6. Ongoing fees   7. Building facilities</t>
  </si>
  <si>
    <t>TOP RANKED</t>
  </si>
  <si>
    <t>Rank</t>
  </si>
  <si>
    <t>Property</t>
  </si>
  <si>
    <t>Score /100</t>
  </si>
  <si>
    <t>Price guide</t>
  </si>
  <si>
    <t>Beds</t>
  </si>
  <si>
    <t>Cars</t>
  </si>
  <si>
    <t>Size (m²)</t>
  </si>
  <si>
    <t>To Port Melbourne Beach</t>
  </si>
  <si>
    <t>317/232-242 Rouse Street</t>
  </si>
  <si>
    <t>$415,000</t>
  </si>
  <si>
    <t>261 m</t>
  </si>
  <si>
    <t>307/232-242 Rouse Street</t>
  </si>
  <si>
    <t>$399,000 to $435,000</t>
  </si>
  <si>
    <t>208/52 Dow Street</t>
  </si>
  <si>
    <t>$410,000 to $430,000</t>
  </si>
  <si>
    <t>224 m</t>
  </si>
  <si>
    <t>615/101 Bay Street</t>
  </si>
  <si>
    <t>$535,000</t>
  </si>
  <si>
    <t>389 m</t>
  </si>
  <si>
    <t>505/54 Nott Street</t>
  </si>
  <si>
    <t>$540,000 to $575,000</t>
  </si>
  <si>
    <t>338 m</t>
  </si>
  <si>
    <t>413/101 Bay Street</t>
  </si>
  <si>
    <t>$350,000 to $380,000</t>
  </si>
  <si>
    <t>304/99 Dow Street</t>
  </si>
  <si>
    <t>$420,000</t>
  </si>
  <si>
    <t>405 m</t>
  </si>
  <si>
    <t>109/99 Dow Street</t>
  </si>
  <si>
    <t>$360,000 to $390,000</t>
  </si>
  <si>
    <t>8/103 Liardet Street</t>
  </si>
  <si>
    <t>$380,000 to $418,000</t>
  </si>
  <si>
    <t>687 m</t>
  </si>
  <si>
    <t>109/2 Rouse Street</t>
  </si>
  <si>
    <t>$550,000 to $590,000</t>
  </si>
  <si>
    <t>240 m</t>
  </si>
  <si>
    <t>THE SET AT A GLANCE</t>
  </si>
  <si>
    <t>READ THIS FIRST</t>
  </si>
  <si>
    <t>Properties reviewed</t>
  </si>
  <si>
    <t>•  317/232-242 Rouse Street ranks first at 64.7 out of 100. Placed first in this set, carried mainly by price.</t>
  </si>
  <si>
    <t>Cheapest midpoint</t>
  </si>
  <si>
    <t>Dearest midpoint</t>
  </si>
  <si>
    <t>•  All ten floor area values are estimates, and floor area is your third priority. Nine of these ten ongoing fees values are estimates, and ongoing fees is your sixth priority.</t>
  </si>
  <si>
    <t>Average midpoint</t>
  </si>
  <si>
    <t>Closest to Port Melbourne Beach</t>
  </si>
  <si>
    <t>•  Fee figures in this set are found on other listings in the same building, estimated. Only a Section 32 settles a fee.</t>
  </si>
  <si>
    <t>Furthest from Port Melbourne Beach</t>
  </si>
  <si>
    <t>Two bedroom or larger</t>
  </si>
  <si>
    <t>•  Distance is a straight line to Port Melbourne Beach. Walking will be longer.</t>
  </si>
  <si>
    <t>With at least one car space</t>
  </si>
  <si>
    <t>Fees from a listing, the web or a document</t>
  </si>
  <si>
    <t>•  Two listings are already under offer: 8/103 Liardet Street (P3) and 109/99 Dow Street (P4). Both still score well on price, so confirm with BigginScott and Ampersand whether either deal has fallen over before you spend time on them.</t>
  </si>
  <si>
    <t>Fees estimated</t>
  </si>
  <si>
    <t>•  Two listings have no car space at all, 109/99 Dow Street (P4) and 413/101 Bay Street (P9), and both are the cheapest in the set. The price ranking is partly a parking discount.</t>
  </si>
  <si>
    <t>•  Not one of the ten listings publishes a floor area. Every size in this workbook is my estimate, and size carries 17% of the weighting. Ask each agent for the floorplan with dimensions before you rely on the ranking.</t>
  </si>
  <si>
    <t>•  No owners corporation fee is disclosed on any listing. One web figure exists for Bay 101 (a 2-bed lot at $836/qtr, undated); the other nine are estimates. The ID complex (P2) with its pool, gym and manager will almost certainly carry the highest fees.</t>
  </si>
  <si>
    <t>•  Scores are relative to this list only. Change a blue weight on the Scoring sheet and every sheet re-ranks.</t>
  </si>
  <si>
    <t>Weighted scoring model</t>
  </si>
  <si>
    <t>Edit the blue weight cells to re-prioritise. Every score and rank in this workbook recalculates.</t>
  </si>
  <si>
    <t>YOUR PRIORITIES</t>
  </si>
  <si>
    <t>Priority</t>
  </si>
  <si>
    <t>Criterion</t>
  </si>
  <si>
    <t>Weight</t>
  </si>
  <si>
    <t>Direction</t>
  </si>
  <si>
    <t>Price</t>
  </si>
  <si>
    <t>Closer or cheaper is better</t>
  </si>
  <si>
    <t>Distance to Port Melbourne Beach</t>
  </si>
  <si>
    <t>Floor area</t>
  </si>
  <si>
    <t>More is better</t>
  </si>
  <si>
    <t>Bedrooms</t>
  </si>
  <si>
    <t>Car parking</t>
  </si>
  <si>
    <t>Ongoing fees</t>
  </si>
  <si>
    <t>Building facilities</t>
  </si>
  <si>
    <t>Total</t>
  </si>
  <si>
    <t>Must equal 100%</t>
  </si>
  <si>
    <t>RAW VALUES, SUB SCORES AND THE WEIGHTED RESULT</t>
  </si>
  <si>
    <t>Ref</t>
  </si>
  <si>
    <t>Price score</t>
  </si>
  <si>
    <t>Distance to Port Melbourne Beach score</t>
  </si>
  <si>
    <t>Floor area score</t>
  </si>
  <si>
    <t>Bedrooms score</t>
  </si>
  <si>
    <t>Car parking score</t>
  </si>
  <si>
    <t>Ongoing fees score</t>
  </si>
  <si>
    <t>Building facilities score</t>
  </si>
  <si>
    <t>Weighted /10</t>
  </si>
  <si>
    <t>P1</t>
  </si>
  <si>
    <t>P2</t>
  </si>
  <si>
    <t>P3</t>
  </si>
  <si>
    <t>P4</t>
  </si>
  <si>
    <t>P5</t>
  </si>
  <si>
    <t>P6</t>
  </si>
  <si>
    <t>P7</t>
  </si>
  <si>
    <t>P8</t>
  </si>
  <si>
    <t>P9</t>
  </si>
  <si>
    <t>P10</t>
  </si>
  <si>
    <t>Minimum in set</t>
  </si>
  <si>
    <t>Maximum in set</t>
  </si>
  <si>
    <t>How each score works: every criterion is scaled 0 to 10 across these properties only, so 10 is best in this set and 0 is worst in this set. The weighted score multiplies each sub score by its weight. Blue cells are inputs. Italic figures are estimates. Overwrite a blue cell with a verified figure and the ranking updates itself.</t>
  </si>
  <si>
    <t>Port Melbourne apartment shortlist, full comparison</t>
  </si>
  <si>
    <t>10 listings, 2 September 2026, 9:00 am. Rank and score are live from the Scoring sheet.</t>
  </si>
  <si>
    <t>Address</t>
  </si>
  <si>
    <t>Building</t>
  </si>
  <si>
    <t>Type</t>
  </si>
  <si>
    <t>Status</t>
  </si>
  <si>
    <t>Sale method</t>
  </si>
  <si>
    <t>Price low</t>
  </si>
  <si>
    <t>Price high</t>
  </si>
  <si>
    <t>Price midpoint</t>
  </si>
  <si>
    <t>Baths</t>
  </si>
  <si>
    <t>Size source</t>
  </si>
  <si>
    <t>To Port Melbourne Beach (m)</t>
  </si>
  <si>
    <t>OC fees ($/qtr)</t>
  </si>
  <si>
    <t>OC fees ($/yr)</t>
  </si>
  <si>
    <t>Council rates ($/yr)</t>
  </si>
  <si>
    <t>Fee source</t>
  </si>
  <si>
    <t>Facilities score</t>
  </si>
  <si>
    <t>Facilities you wanted</t>
  </si>
  <si>
    <t>Coles Bay St (m)</t>
  </si>
  <si>
    <t>Route 109 terminus (m)</t>
  </si>
  <si>
    <t>Flinders St Station (m)</t>
  </si>
  <si>
    <t>Floor</t>
  </si>
  <si>
    <t>Aspect</t>
  </si>
  <si>
    <t>Key features</t>
  </si>
  <si>
    <t>Agent</t>
  </si>
  <si>
    <t>Agency</t>
  </si>
  <si>
    <t>Listed</t>
  </si>
  <si>
    <t>Next inspection</t>
  </si>
  <si>
    <t>Listing URL</t>
  </si>
  <si>
    <t>Bay 101 (172 lots, built 2012)</t>
  </si>
  <si>
    <t>Apartment</t>
  </si>
  <si>
    <t>For sale</t>
  </si>
  <si>
    <t>Private sale</t>
  </si>
  <si>
    <t>Estimated</t>
  </si>
  <si>
    <t>Found. 1 sold listing in this building (lot 715, 2-bed) disclosed $836.20/qtr, undated; rounded up as a range indicator only</t>
  </si>
  <si>
    <t/>
  </si>
  <si>
    <t>6</t>
  </si>
  <si>
    <t>Balcony; built-in wardrobes; dishwasher; floorboards; Miele appliances; stone benchtops; study nook in main bedroom; European laundry; split-system heating/cooling; video intercom; swipe access; lift; secure basement parking; new paint and carpet</t>
  </si>
  <si>
    <t>Fraser Lack</t>
  </si>
  <si>
    <t>BigginScott, Port Melbourne</t>
  </si>
  <si>
    <t>2 Sep 2026</t>
  </si>
  <si>
    <t>Sat 5 Sep 11:00 to 11:30</t>
  </si>
  <si>
    <t>https://www.realestate.com.au/property-apartment-vic-port+melbourne-152218880</t>
  </si>
  <si>
    <t>ID Apartments (pool, gym, building manager)</t>
  </si>
  <si>
    <t>Estimated. amenity-heavy complex with pool, gym and building manager; no figure found</t>
  </si>
  <si>
    <t>Indoor pool (described as undercover); Gym</t>
  </si>
  <si>
    <t>Ground</t>
  </si>
  <si>
    <t>North</t>
  </si>
  <si>
    <t>Private courtyard with direct access to gardens and facilities; renovated kitchen; renovated bathroom with European laundry; floor-to-ceiling mirrored robes; timber floors; split-system heating/cooling; secure intercom; secure car space; undercover swimming pool; gym; on-site building manager; landscaped gardens</t>
  </si>
  <si>
    <t>Besim Kanacevic</t>
  </si>
  <si>
    <t>Belle Property, Albert Park</t>
  </si>
  <si>
    <t>4 Aug 2026</t>
  </si>
  <si>
    <t>Sat 5 Sep 12:00 to 12:30</t>
  </si>
  <si>
    <t>https://www.realestate.com.au/property-apartment-vic-port+melbourne-151949132</t>
  </si>
  <si>
    <t>Boutique block beside Edwards Park</t>
  </si>
  <si>
    <t>Under offer</t>
  </si>
  <si>
    <t>Estimated. small older block, no lift or facilities; no figure found</t>
  </si>
  <si>
    <t>Balcony; built-in wardrobes; floorboards; garage space; secure parking; ceiling fan; communal laundry; secure entry; NBN HFC</t>
  </si>
  <si>
    <t>3 Aug 2026</t>
  </si>
  <si>
    <t>https://www.realestate.com.au/property-apartment-vic-port+melbourne-151936524</t>
  </si>
  <si>
    <t>99 Dow Street (on-site building manager)</t>
  </si>
  <si>
    <t>Estimated. mid-size building with a building manager and no facilities; agent claims 'low outgoings'</t>
  </si>
  <si>
    <t>1</t>
  </si>
  <si>
    <t>Balcony; built-in wardrobes; ensuite with walk-in shower; Smeg appliances; stone benchtop; dishwasher drawer; pull-out pantry; European laundry with sink; floor-to-ceiling glass; LED downlights; Fujitsu heating/cooling; video intercom; on-site building manager; storage cage</t>
  </si>
  <si>
    <t>Jordan Wiederstein</t>
  </si>
  <si>
    <t>Ampersand, Port Melbourne</t>
  </si>
  <si>
    <t>https://www.realestate.com.au/property-apartment-vic-port+melbourne-151876244</t>
  </si>
  <si>
    <t>CVU (built 2010, pet-friendly)</t>
  </si>
  <si>
    <t>Estimated. mid-size 2010 building with lift and secure parking, no pool or gym; no figure found</t>
  </si>
  <si>
    <t>3</t>
  </si>
  <si>
    <t>Oversized undercover balcony; stone benchtops; stainless steel appliances; dishwasher; built-in robes; Japanese-style soaking bath; stone vanity; heating/cooling; European laundry; video intercom; secure undercover parking; visitor parking</t>
  </si>
  <si>
    <t>Simon Graf</t>
  </si>
  <si>
    <t>Simon Graf Real Estate, Albert Park</t>
  </si>
  <si>
    <t>Sat 5 Sep 12:45 to 1:15</t>
  </si>
  <si>
    <t>https://www.realestate.com.au/property-apartment-vic-port+melbourne-151861552</t>
  </si>
  <si>
    <t>Estimated. same building as P5, same basis</t>
  </si>
  <si>
    <t>Large undercover terrace; full-sized kitchen with Blanco appliances; stone benchtops; mirrored built-in robes; concealed laundry; split-system heating/cooling; video intercom; CCTV; lift; secure non-stacker parking</t>
  </si>
  <si>
    <t>Matthew Grima</t>
  </si>
  <si>
    <t>Marshall White</t>
  </si>
  <si>
    <t>Sat 5 Sep 11:45</t>
  </si>
  <si>
    <t>https://www.realestate.com.au/property-apartment-vic-port+melbourne-151707956</t>
  </si>
  <si>
    <t>Zinc (58 lots, built 2007)</t>
  </si>
  <si>
    <t>Estimated. 58-lot 2007 building with lift, no pool or gym; no figure found</t>
  </si>
  <si>
    <t>2</t>
  </si>
  <si>
    <t>New timber flooring; new paint; new oven; new dishwasher; refreshed bathroom; private balcony; built-in robes; concealed laundry; secure basement car space; lift; video intercom; reverse-cycle heating/cooling</t>
  </si>
  <si>
    <t>David Ye</t>
  </si>
  <si>
    <t>Elite Real Estate, Melbourne</t>
  </si>
  <si>
    <t>Sat 5 Sep 1:20 to 1:50</t>
  </si>
  <si>
    <t>https://www.realestate.com.au/property-apartment-vic-port+melbourne-151629508</t>
  </si>
  <si>
    <t>54 Nott Street</t>
  </si>
  <si>
    <t>Estimated. five-storey building with lift implied, no facilities mentioned; no figure found</t>
  </si>
  <si>
    <t>5</t>
  </si>
  <si>
    <t>Open-plan living; private balcony with elevated outlook; two bedrooms around a central bathroom; secure entry; off-street parking</t>
  </si>
  <si>
    <t>https://www.realestate.com.au/property-apartment-vic-port+melbourne-151406124</t>
  </si>
  <si>
    <t>Estimated. scaled down from the $836/qtr WEB figure for a 2-bed lot in this building</t>
  </si>
  <si>
    <t>4</t>
  </si>
  <si>
    <t>Carpeted bedroom with mirrored built-in robes; timber floors in living; Miele appliances; full-sized bathroom with laundry space; split-system heating/cooling; private balcony</t>
  </si>
  <si>
    <t>Tahlia Punter</t>
  </si>
  <si>
    <t>Buxton, Port Melbourne</t>
  </si>
  <si>
    <t>Thu 3 Sep 12:00 to 12:20; Sat 5 Sep 2:00 to 2:30</t>
  </si>
  <si>
    <t>https://www.realestate.com.au/property-apartment-vic-port+melbourne-150894060</t>
  </si>
  <si>
    <t>Estimated. same building as P4, same basis</t>
  </si>
  <si>
    <t>Floor-to-ceiling windows; high ceilings; stone benchtops and splashback; stainless steel appliances; built-in wardrobes; private balcony; European laundry; heating/cooling; intercom; secure basement parking</t>
  </si>
  <si>
    <t>Paul Di Carlo</t>
  </si>
  <si>
    <t>Dicarlo Real Estate, Box Hill North</t>
  </si>
  <si>
    <t>https://www.realestate.com.au/property-apartment-vic-port+melbourne-148178844</t>
  </si>
  <si>
    <t>Blue and italic figures on the Scoring sheet are estimates. Structured facts (beds, baths, cars, size) come from the portal's facts box only, never from the description. Where the description disagreed, both figures are on the Sources sheet.</t>
  </si>
  <si>
    <t>Ongoing costs and cost adjusted ranking</t>
  </si>
  <si>
    <t>What each property costs to own each year before the mortgage, and how the ranking changes when 10 years of those costs are added to the price.</t>
  </si>
  <si>
    <t xml:space="preserve">OC fees
($/qtr)</t>
  </si>
  <si>
    <t xml:space="preserve">OC fees
($/yr)</t>
  </si>
  <si>
    <t xml:space="preserve">Council rates
($/yr)</t>
  </si>
  <si>
    <t xml:space="preserve">Other
($/yr)</t>
  </si>
  <si>
    <t xml:space="preserve">Total holding
($/yr)</t>
  </si>
  <si>
    <t>Data source and confidence</t>
  </si>
  <si>
    <t xml:space="preserve">Price
midpoint</t>
  </si>
  <si>
    <t xml:space="preserve">Holding
% of price</t>
  </si>
  <si>
    <t xml:space="preserve">10 year
holding</t>
  </si>
  <si>
    <t xml:space="preserve">Price plus
10 years</t>
  </si>
  <si>
    <t xml:space="preserve">Rank on your
priorities</t>
  </si>
  <si>
    <t xml:space="preserve">Land tax
($/yr, investors)</t>
  </si>
  <si>
    <t>WEB, 1 sold listing in this building (lot 715, 2-bed) disclosed $836.20/qtr, undated; rounded up as a range indicator only</t>
  </si>
  <si>
    <t>ESTIMATE, amenity-heavy complex with pool, gym and building manager; no figure found</t>
  </si>
  <si>
    <t>ESTIMATE, small older block, no lift or facilities; no figure found</t>
  </si>
  <si>
    <t>ESTIMATE, mid-size building with a building manager and no facilities; agent claims 'low outgoings'</t>
  </si>
  <si>
    <t>ESTIMATE, mid-size 2010 building with lift and secure parking, no pool or gym; no figure found</t>
  </si>
  <si>
    <t>ESTIMATE, same building as P5, same basis</t>
  </si>
  <si>
    <t>ESTIMATE, 58-lot 2007 building with lift, no pool or gym; no figure found</t>
  </si>
  <si>
    <t>ESTIMATE, five-storey building with lift implied, no facilities mentioned; no figure found</t>
  </si>
  <si>
    <t>ESTIMATE, scaled down from the $836/qtr WEB figure for a 2-bed lot in this building</t>
  </si>
  <si>
    <t>ESTIMATE, same building as P4, same basis</t>
  </si>
  <si>
    <t>A fee found on the web for another apartment in the same building is a guide only, because fees track the size of your lot. A typical estimate is used only when nothing was found. Only the Section 32 verifies a fee, and one apartment can sit under more than one owners corporation. Land tax is shown for information only: in Victoria the home you live in is usually exempt.</t>
  </si>
  <si>
    <t>Pros, cons and verdict</t>
  </si>
  <si>
    <t>One block per property, in rank order.</t>
  </si>
  <si>
    <t>P5  1. 317/232-242 Rouse Street   Score 64.7 /100</t>
  </si>
  <si>
    <t>1 bed, 1 bath, 1 car, 55 m² (est)</t>
  </si>
  <si>
    <t>261 m to Port Melbourne Beach</t>
  </si>
  <si>
    <t>Why it placed here</t>
  </si>
  <si>
    <t>Placed first in this set, carried mainly by price.</t>
  </si>
  <si>
    <t>Summary</t>
  </si>
  <si>
    <t>Third-floor one-bedder in the CVU building one block back from the beach, with an unusually large undercover balcony, a soaking-tub bathroom and secure undercover parking. Fixed price, and it competes head-on with P6 three doors along the corridor.</t>
  </si>
  <si>
    <t>Pros</t>
  </si>
  <si>
    <t>Cons</t>
  </si>
  <si>
    <t>+</t>
  </si>
  <si>
    <t>261m to the beach, third closest, and one block from Bay Street the other way</t>
  </si>
  <si>
    <t>-</t>
  </si>
  <si>
    <t>P6 in the same building starts $16,000 lower, the two listings are competing for the same buyer</t>
  </si>
  <si>
    <t>Oversized undercover balcony that works as a second living room</t>
  </si>
  <si>
    <t>Only 8 photos and no aspect stated; the curved CVU balconies face every direction</t>
  </si>
  <si>
    <t>Fixed price of $415,000 with a car space and visitor parking</t>
  </si>
  <si>
    <t>No listing date published, so time on market is unknown</t>
  </si>
  <si>
    <t>Closest of the set to the Route 109 tram terminus (411m)</t>
  </si>
  <si>
    <t>Soaking bath rather than a walk-in shower is not to everyone's taste</t>
  </si>
  <si>
    <t>Lift, video intercom and a pet-friendly 2010 building</t>
  </si>
  <si>
    <t>No floor area published; 55m² is an estimate</t>
  </si>
  <si>
    <t>Verdict</t>
  </si>
  <si>
    <t>Strong on beach, price and parking together, inspect it back-to-back with P6 and let the two vendors compete.</t>
  </si>
  <si>
    <t>P6  2. 307/232-242 Rouse Street   Score 64.3 /100</t>
  </si>
  <si>
    <t>Placed second in this set, carried mainly by price.</t>
  </si>
  <si>
    <t>Third-floor one-bedder in CVU, same corridor as P5, with a big undercover terrace, a full-sized Blanco kitchen and a genuine non-stacker basement space. The range straddles P5's fixed price on both sides.</t>
  </si>
  <si>
    <t>Lowest entry price in the set for a one-bed with a car space that is still available</t>
  </si>
  <si>
    <t>Only 7 photos, the fewest in the set, and no floorplan detail in the copy</t>
  </si>
  <si>
    <t>Same 261m walk to the beach and 411m to the tram as P5</t>
  </si>
  <si>
    <t>The top of the range is $20,000 above P5's fixed price for what looks like the same apartment type</t>
  </si>
  <si>
    <t>Full-sized kitchen and a terrace big enough for a dining table</t>
  </si>
  <si>
    <t>Marshall White typically runs campaigns to the upper end of a quoted range</t>
  </si>
  <si>
    <t>Non-stacker parking is a real advantage over tandem or stacker bays</t>
  </si>
  <si>
    <t>No listing date published</t>
  </si>
  <si>
    <t>Lift, CCTV and video intercom in a pet-friendly building</t>
  </si>
  <si>
    <t>No aspect stated; no floor area published</t>
  </si>
  <si>
    <t>Same building, same walk, lower entry price than P5, bid at the bottom of the range and use P5's fixed price as your ceiling.</t>
  </si>
  <si>
    <t>P7  3. 208/52 Dow Street   Score 63.6 /100</t>
  </si>
  <si>
    <t>1 bed, 1 bath, 1 car, 52 m² (est)</t>
  </si>
  <si>
    <t>224 m to Port Melbourne Beach</t>
  </si>
  <si>
    <t>Placed third in this set, carried mainly by price.</t>
  </si>
  <si>
    <t>Second-floor one-bedder in the Zinc building, the closest of the ten to the sand, fully refreshed with new floors, paint, oven, dishwasher and bathroom, plus a basement car space and lift. Marketed by a CBD agency rather than a local one.</t>
  </si>
  <si>
    <t>Closest to the beach in the set at 224m</t>
  </si>
  <si>
    <t>Agent is based in the CBD, not Port Melbourne, less local pricing knowledge and inspections may be harder to arrange</t>
  </si>
  <si>
    <t>Move-in ready: new flooring, paint, oven, dishwasher and a refreshed bathroom</t>
  </si>
  <si>
    <t>Zinc has serviced-apartment and short-stay operators in the building, so expect transient neighbours</t>
  </si>
  <si>
    <t>15 photos, the best-documented listing here</t>
  </si>
  <si>
    <t>Second floor with no aspect or outlook stated</t>
  </si>
  <si>
    <t>58-lot building is small enough that fees and politics stay manageable</t>
  </si>
  <si>
    <t>The listing's own disclaimer says photos and floorplans are indicative only and staging is not included</t>
  </si>
  <si>
    <t>Secure basement car space, lift and reverse-cycle heating/cooling</t>
  </si>
  <si>
    <t>No listing date, no floor area, 52m² is an estimate</t>
  </si>
  <si>
    <t>Best combination of beach, renovation and price in the set, verify the outlook in person and ask the owners corporation how many lots are run as short-stays.</t>
  </si>
  <si>
    <t>P1  4. 615/101 Bay Street   Score 58.7 /100</t>
  </si>
  <si>
    <t>2 bed, 1 bath, 1 car, 65 m² (est)</t>
  </si>
  <si>
    <t>389 m to Port Melbourne Beach</t>
  </si>
  <si>
    <t>Placed fourth in this set on the strength of floor area (an estimate), held back by building facilities.</t>
  </si>
  <si>
    <t>Sixth-floor two-bedder in the large Bay 101 complex right on Bay Street, freshly repainted and recarpeted, with a Miele kitchen, a study nook off the main bedroom and a basement car space. It is the cheapest two-bedroom-with-parking in the set and went live today.</t>
  </si>
  <si>
    <t>Only two-bedroom apartment in the set with a car space under $540,000</t>
  </si>
  <si>
    <t>One bathroom for two bedrooms</t>
  </si>
  <si>
    <t>Fixed asking price, so no guessing where the range really lands</t>
  </si>
  <si>
    <t>Only 8 photos and no aspect or outlook stated, cheaper Bay 101 lots often face the internal courtyard rather than the bay</t>
  </si>
  <si>
    <t>Freshly painted and recarpeted, with Miele appliances and a study nook</t>
  </si>
  <si>
    <t>172-lot building means shared lifts and a big owners corporation to navigate</t>
  </si>
  <si>
    <t>Large established building with an on-site caretaker and a dedicated visitor car park</t>
  </si>
  <si>
    <t>389m to the sand, mid-pack for the beach criterion, and Bay Street is the noisy side of the complex</t>
  </si>
  <si>
    <t>Bay Street shops and Coles are literally at the door (256m to Coles)</t>
  </si>
  <si>
    <t>Listed today, so no price history and the agent has no reason to negotiate yet</t>
  </si>
  <si>
    <t>The only building in the set with a published fee figure to sanity-check against</t>
  </si>
  <si>
    <t>No floor area published; the 65m² is my estimate</t>
  </si>
  <si>
    <t>The obvious value play if two bedrooms matter, inspect on Saturday and ask which way the balcony faces before anything else.</t>
  </si>
  <si>
    <t>P8  5. 505/54 Nott Street   Score 58.0 /100</t>
  </si>
  <si>
    <t>338 m to Port Melbourne Beach</t>
  </si>
  <si>
    <t>Placed fifth in this set, carried mainly by distance to a place that matters.</t>
  </si>
  <si>
    <t>Fifth-floor two-bedder on Nott Street with a balcony and an elevated outlook, one bathroom and a car space. The listing copy is thin, it names almost nothing about finishes, heating, laundry or the building.</t>
  </si>
  <si>
    <t>Two bedrooms with a car space, on the fifth floor with an elevated outlook</t>
  </si>
  <si>
    <t>Second most expensive in the set, with a range that tops out at $575,000</t>
  </si>
  <si>
    <t>338m to the beach and 312m to Coles, well placed for both</t>
  </si>
  <si>
    <t>13 photos</t>
  </si>
  <si>
    <t>The description says nothing about appliances, heating and cooling, laundry, lift or the building itself, a thin listing at this price</t>
  </si>
  <si>
    <t>Secure entry and parking included</t>
  </si>
  <si>
    <t>'Off-street parking' is vaguer than the basement or garage wording used elsewhere; confirm what the space actually is</t>
  </si>
  <si>
    <t>No listing date, no floor area, no building name</t>
  </si>
  <si>
    <t>Same inspection slot as P2 (Sat 12:00), same agent</t>
  </si>
  <si>
    <t>A two-bedder at a two-bedder price with a listing that tells you almost nothing, P1 gives you the same bedroom count for less, so this needs to impress in person.</t>
  </si>
  <si>
    <t>P9  6. 413/101 Bay Street   Score 54.9 /100</t>
  </si>
  <si>
    <t>1 bed, 1 bath, 0 car, 48 m² (est)</t>
  </si>
  <si>
    <t>Placed sixth in this set on the strength of price, held back by building facilities.</t>
  </si>
  <si>
    <t>Fourth-floor one-bedder in Bay 101 with a Miele kitchen, a balcony and split-system climate control, but no car space. Joint-cheapest in the set and still available, with two inspections this week.</t>
  </si>
  <si>
    <t>Joint-cheapest in the set at a $365,000 midpoint, and still on the market</t>
  </si>
  <si>
    <t>No car space, parking is your fifth criterion and a 1-bed without one resells harder</t>
  </si>
  <si>
    <t>Two inspections this week, including tomorrow at midday</t>
  </si>
  <si>
    <t>Generic description with nothing on aspect, outlook or which side of the building it faces</t>
  </si>
  <si>
    <t>Same well-run 172-lot building as P1, with a caretaker and visitor parking</t>
  </si>
  <si>
    <t>Carpet in the bedroom where P1 has just been recarpeted throughout</t>
  </si>
  <si>
    <t>Miele kitchen, full-sized bathroom, balcony and heating/cooling</t>
  </si>
  <si>
    <t>Range-priced private sale, so the real number is likely nearer $380,000</t>
  </si>
  <si>
    <t>Coles 256m away and Bay Street at the door</t>
  </si>
  <si>
    <t>No floor area published; 48m² is an estimate</t>
  </si>
  <si>
    <t>Cheapest available apartment in the set and the one to see first, the question is whether you can live without the car space.</t>
  </si>
  <si>
    <t>P10  7. 304/99 Dow Street   Score 51.4 /100</t>
  </si>
  <si>
    <t>1 bed, 1 bath, 1 car, 48 m² (est)</t>
  </si>
  <si>
    <t>405 m to Port Melbourne Beach</t>
  </si>
  <si>
    <t>Placed seventh in this set, carried mainly by price.</t>
  </si>
  <si>
    <t>Third-floor one-bedder at 99 Dow Street with high ceilings, floor-to-ceiling glass and a basement car space, at a fixed $420,000. Its listing number is the oldest in the set, and the agent is based in Box Hill North.</t>
  </si>
  <si>
    <t>Fixed price with a basement car space in a building that has an on-site manager</t>
  </si>
  <si>
    <t>Oldest listing number in the set, suggesting it has sat on the market for months, usually a pricing problem</t>
  </si>
  <si>
    <t>High ceilings and floor-to-ceiling windows, better volume than most one-bedders</t>
  </si>
  <si>
    <t>P4 in the same building went under offer at $360,000 to $390,000; this one wants $420,000 for one car space more</t>
  </si>
  <si>
    <t>Third floor, above the street noise that P4 on level one will cope with</t>
  </si>
  <si>
    <t>Agent is 20km away in Box Hill North with no inspections scheduled</t>
  </si>
  <si>
    <t>281m to Coles and 405m to the beach</t>
  </si>
  <si>
    <t>No structured feature list on the portal at all, and no mention of the storage cage P4 has</t>
  </si>
  <si>
    <t>No listing date or floor area published</t>
  </si>
  <si>
    <t>The car space is the only thing separating it from P4's price, offer well under the asking and let the stale campaign do the talking.</t>
  </si>
  <si>
    <t>P4  8. 109/99 Dow Street   Score 49.6 /100</t>
  </si>
  <si>
    <t>1 bed, 1 bath, 0 car, 45 m² (est)</t>
  </si>
  <si>
    <t>Placed eighth in this set on the strength of price, held back by building facilities.</t>
  </si>
  <si>
    <t>First-floor one-bedder at 99 Dow Street with a Smeg kitchen, an ensuite, a storage cage and a building manager, but no car space. It is the joint-cheapest listing in the set and is already under offer.</t>
  </si>
  <si>
    <t>Joint-cheapest in the set at a $375,000 midpoint</t>
  </si>
  <si>
    <t>Under offer, likely gone unless the deal collapses</t>
  </si>
  <si>
    <t>Smeg kitchen, ensuite with walk-in shower and a proper laundry sink, well specified for the price</t>
  </si>
  <si>
    <t>No car space at all, and parking is your fifth criterion</t>
  </si>
  <si>
    <t>Dedicated storage cage and an on-site building manager</t>
  </si>
  <si>
    <t>First floor, so limited outlook and more street noise</t>
  </si>
  <si>
    <t>The agent claims low outgoings, and the building has no pool or gym to fund</t>
  </si>
  <si>
    <t>No listing date or inspection times published</t>
  </si>
  <si>
    <t>Same building as P10, which is asking $420,000 with a car space, a useful price anchor</t>
  </si>
  <si>
    <t>Aspect of the floor-to-ceiling glass not stated; west-facing glass matters in a Port Melbourne summer</t>
  </si>
  <si>
    <t>Best pure price in the set, but no parking and already under offer, the useful thing it tells you is what a 99 Dow Street one-bedder actually sells for.</t>
  </si>
  <si>
    <t>P3  9. 8/103 Liardet Street   Score 39.5 /100</t>
  </si>
  <si>
    <t>1 bed, 1 bath, 1 car, 45 m² (est)</t>
  </si>
  <si>
    <t>687 m to Port Melbourne Beach</t>
  </si>
  <si>
    <t>Placed ninth in this set, carried mainly by price.</t>
  </si>
  <si>
    <t>One-bedder in a small boutique block next to Edwards Park, with a balcony, a car space and a communal laundry. Already under offer, and the furthest of the ten from the beach.</t>
  </si>
  <si>
    <t>Cheapest one-bedroom in the set that still includes a car space</t>
  </si>
  <si>
    <t>Under offer, you are probably too late unless the deal falls over</t>
  </si>
  <si>
    <t>Small boutique block, so owners corporation fees should be the lowest here</t>
  </si>
  <si>
    <t>Communal laundry rather than one in the apartment</t>
  </si>
  <si>
    <t>Edwards Park next door and Coles 188m away, best of the set for shops</t>
  </si>
  <si>
    <t>No heating or cooling mentioned anywhere, only a ceiling fan</t>
  </si>
  <si>
    <t>Balcony and built-in robes; NBN HFC connected</t>
  </si>
  <si>
    <t>687m to the beach, the furthest in the set by nearly 300m</t>
  </si>
  <si>
    <t>Older, smaller stock; no lift mentioned and no floor level stated</t>
  </si>
  <si>
    <t>No inspections scheduled and only 8 photos</t>
  </si>
  <si>
    <t>Cheap and parkside, but it is under offer and last on your beach criterion, park it unless the agent tells you the offer has fallen through.</t>
  </si>
  <si>
    <t>P2  10. 109/2 Rouse Street   Score 38.4 /100</t>
  </si>
  <si>
    <t>240 m to Port Melbourne Beach</t>
  </si>
  <si>
    <t>Placed last in this set on the strength of distance to a place that matters, held back by ongoing fees.</t>
  </si>
  <si>
    <t>North-facing ground-floor one-bedder in the ID complex at the Albert Park end of Rouse Street, renovated in the kitchen and bathroom, with a courtyard that opens straight onto the communal gardens, pool and gym. It is the only listing in the set with the facilities you asked for, and the most expensive one-bedroom by a wide margin.</t>
  </si>
  <si>
    <t>The only building here with a pool and a gym, the two facilities you ranked</t>
  </si>
  <si>
    <t>Priciest one-bedroom in the set, the top of the range is $170,000 above the cheapest one-bed with a car space</t>
  </si>
  <si>
    <t>240m to the beach, second closest in the set</t>
  </si>
  <si>
    <t>Ground floor with a courtyard opening onto common gardens: less privacy and security than an upper floor</t>
  </si>
  <si>
    <t>North-facing with a renovated kitchen and bathroom</t>
  </si>
  <si>
    <t>Pool, gym and building manager will push owners corporation fees to the top of this set, no figure is published</t>
  </si>
  <si>
    <t>Secure car space and an on-site building manager</t>
  </si>
  <si>
    <t>Furthest from Bay Street (639m to Coles) and from the 109 tram (just over 1km)</t>
  </si>
  <si>
    <t>Four weeks on market, so there may be room to negotiate</t>
  </si>
  <si>
    <t>Facilities count for only 3.3% of your weighting, but you are paying a full premium for them</t>
  </si>
  <si>
    <t>Lifestyle pick that loses badly on your number-one criterion, only worth pursuing if the pool and gym matter more to you than the ranking says.</t>
  </si>
  <si>
    <t>Sources, method and caveats</t>
  </si>
  <si>
    <t>Everything in this workbook traces back to the 10 listings below, retrieved 2 September 2026, 9:00 am.</t>
  </si>
  <si>
    <t>SOURCE LISTINGS</t>
  </si>
  <si>
    <t>Retrieved</t>
  </si>
  <si>
    <t>2 September 2026, 9:00 am</t>
  </si>
  <si>
    <t>METHOD</t>
  </si>
  <si>
    <t>How distance to the beach was measured</t>
  </si>
  <si>
    <t>Each address was geocoded, then measured in a straight line to the nearest point on a nine-vertex polyline tracing the Port Melbourne foreshore from Beacon Cove past Princes Pier, Station Pier, the yacht club and Lagoon Pier to Kerferd Road Pier. These are as-the-crow-flies figures accurate to roughly ±50m, not walking routes. Walking distance will always be longer, and Beach Street sits between every one of these buildings and the sand. Before committing to anything on this criterion, walk the actual route yourself.</t>
  </si>
  <si>
    <t>How the scores were built</t>
  </si>
  <si>
    <t>Each of your seven criteria is scaled 0 to 10 across these ten properties only. Ten means best in this set, zero means worst in this set, the scale is relative, so a low score does not mean a property is bad in absolute terms. Sub-scores are multiplied by the weights on the Scoring tab and summed. Weights were derived from the priority order you gave using a steep-then-flat ladder (33.3 / 23.3 / 16.7 / 11.7 / 6.7 / 5.0 / 3.3) so that price genuinely dominates while facilities can still break a tie. They are yours to change, the blue cells drive everything.</t>
  </si>
  <si>
    <t>What is estimated rather than published</t>
  </si>
  <si>
    <t>None of the ten listings publishes a floor area, so every size in the workbook is an estimate flagged 'Estimated' in the Size source column. Because size carries 17% of the weighting, replacing those estimates with floorplan figures may move the ranking, particularly among the six one-bedroom apartments priced between $399,000 and $435,000. Owners corporation fees are estimated for nine of ten properties and modelled from one undated web figure for the tenth. Council rates are modelled for all ten.</t>
  </si>
  <si>
    <t>Where the fee figures come from</t>
  </si>
  <si>
    <t>A sold listing for 715/101 Bay Street disclosed owners corporation fees of $836.20 a quarter and council rates of $1,250 a year for a two-bedroom lot. That is the only figure found for any of the seven buildings, it carries no date, and it applies to a different lot, fees track lot liability, so a one-bedroom in the same building will pay less and a larger lot more. It is recorded as WEB for P1 and scaled to an estimate for P9. The other five buildings returned no figures from web search; their estimates reflect lot count, age, whether there is a lift and whether there are facilities to fund. The ID complex at 2 Rouse Street runs a pool, gym, landscaped gardens and a building manager, and is set at $1,300 a quarter; the small Liardet Street block with a communal laundry and no lift is set at $550. Treat all of these as placeholders until you hold the owners corporation certificate from a Section 32.</t>
  </si>
  <si>
    <t>How facilities were scored</t>
  </si>
  <si>
    <t>You asked for an indoor pool, an outdoor or rooftop pool, and a gym. Each building was scored on the proportion of those three it has, using listing text pooled across every lot scraped in that building plus web searches on the complex. Only the ID complex mentions any of them (an undercover pool and a gym, scoring 6.7 of 10); the other six buildings score zero. A zero here means nothing was mentioned, not that nothing exists, Bay 101's own resident website, for example, describes parking and security arrangements in detail but says nothing either way about a gym. Ask the agent.</t>
  </si>
  <si>
    <t>Listings already under offer</t>
  </si>
  <si>
    <t>8/103 Liardet Street (P3) and 109/99 Dow Street (P4) both show 'Under offer' on the portal. They are kept in the ranking because deals fall over and because their prices are useful evidence for what the other one-bedders are worth, but neither should be treated as available without a phone call to the agent.</t>
  </si>
  <si>
    <t>Not advice</t>
  </si>
  <si>
    <t>This workbook is a research summary built from public listings, geocoding and web searches. It is not property, financial or legal advice, and the scores are relative rankings within this set, not recommendations to buy. Before making an offer on anything in Victoria, work through Consumer Affairs Victoria's due diligence checklist, have a conveyancer review the Section 32 vendor statement including the owners corporation certificate, and get a building inspection.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</si>
</sst>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numFmts>
  <fonts count="17" x14ac:knownFonts="1">
    <font>
      <color theme="1"/>
      <family val="2"/>
      <scheme val="minor"/>
      <sz val="11"/>
      <name val="Calibri"/>
    </font>
    <font>
      <b/>
      <color rgb="FF1F3B54"/>
      <sz val="18"/>
    </font>
    <font>
      <color rgb="FF44576B"/>
      <sz val="9"/>
    </font>
    <font>
      <color rgb="FF17706E"/>
      <sz val="10"/>
    </font>
    <font>
      <b/>
      <color rgb="FF17706E"/>
      <sz val="12"/>
    </font>
    <font>
      <b/>
      <color rgb="FFFFFFFF"/>
      <sz val="10"/>
    </font>
    <font>
      <b/>
      <color rgb="FF1F3B54"/>
      <sz val="10"/>
    </font>
    <font>
      <color rgb="FF222222"/>
      <sz val="10"/>
    </font>
    <font>
      <i/>
      <color rgb="FF8A5A00"/>
      <sz val="10"/>
    </font>
    <font>
      <b/>
      <color rgb="FF0000FF"/>
      <sz val="10"/>
    </font>
    <font>
      <color rgb="FF0000FF"/>
      <sz val="10"/>
    </font>
    <font>
      <i/>
      <color rgb="FF44576B"/>
      <sz val="9"/>
    </font>
    <font>
      <u/>
      <color rgb="FF0563C1"/>
      <sz val="9"/>
    </font>
    <font>
      <b/>
      <i/>
      <color rgb="FF8A5A00"/>
      <sz val="10"/>
    </font>
    <font>
      <b/>
      <color rgb="FFFFFFFF"/>
      <sz val="11"/>
    </font>
    <font>
      <b/>
      <color rgb="FF17706E"/>
      <sz val="10"/>
    </font>
    <font>
      <b/>
      <color rgb="FFC62828"/>
      <sz val="10"/>
    </font>
  </fonts>
  <fills count="7">
    <fill>
      <patternFill patternType="none"/>
    </fill>
    <fill>
      <patternFill patternType="gray125"/>
    </fill>
    <fill>
      <patternFill patternType="solid">
        <fgColor rgb="FF1F3B54"/>
      </patternFill>
    </fill>
    <fill>
      <patternFill patternType="solid">
        <fgColor rgb="FFF6F9FB"/>
      </patternFill>
    </fill>
    <fill>
      <patternFill patternType="solid">
        <fgColor rgb="FF17706E"/>
      </patternFill>
    </fill>
    <fill>
      <patternFill patternType="solid">
        <fgColor rgb="FFFFF3CD"/>
      </patternFill>
    </fill>
    <fill>
      <patternFill patternType="solid">
        <fgColor rgb="FFEAF0F4"/>
      </patternFill>
    </fill>
  </fills>
  <borders count="2">
    <border>
      <left/>
      <right/>
      <top/>
      <bottom/>
      <diagonal/>
    </border>
    <border>
      <left style="thin">
        <color rgb="FFD0D7DE"/>
      </left>
      <right style="thin">
        <color rgb="FFD0D7DE"/>
      </right>
      <top style="thin">
        <color rgb="FFD0D7DE"/>
      </top>
      <bottom style="thin">
        <color rgb="FFD0D7DE"/>
      </bottom>
      <diagonal/>
    </border>
  </borders>
  <cellStyleXfs count="1">
    <xf numFmtId="0" fontId="0" fillId="0" borderId="0"/>
  </cellStyleXfs>
  <cellXfs count="5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16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vertical="center" wrapText="1"/>
    </xf>
    <xf numFmtId="164" fontId="6"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7" fillId="0" borderId="0" xfId="0" applyFont="1" applyAlignment="1">
      <alignment vertical="top" wrapText="1"/>
    </xf>
    <xf numFmtId="165" fontId="6" fillId="3" borderId="1" xfId="0" applyNumberFormat="1" applyFont="1" applyFill="1" applyBorder="1" applyAlignment="1">
      <alignment horizontal="center" vertical="center" wrapText="1"/>
    </xf>
    <xf numFmtId="165" fontId="6" fillId="0" borderId="1" xfId="0" applyNumberFormat="1" applyFont="1" applyBorder="1" applyAlignment="1">
      <alignment horizontal="center" vertical="center" wrapText="1"/>
    </xf>
    <xf numFmtId="0" fontId="5" fillId="4" borderId="1" xfId="0" applyFont="1" applyFill="1" applyBorder="1" applyAlignment="1">
      <alignment horizontal="center" vertical="center" wrapText="1"/>
    </xf>
    <xf numFmtId="9" fontId="9" fillId="5" borderId="1" xfId="0" applyNumberFormat="1" applyFont="1" applyFill="1" applyBorder="1" applyAlignment="1">
      <alignment horizontal="center" vertical="center" wrapText="1"/>
    </xf>
    <xf numFmtId="0" fontId="6" fillId="0" borderId="1" xfId="0" applyFont="1" applyBorder="1" applyAlignment="1">
      <alignment vertical="center" wrapText="1"/>
    </xf>
    <xf numFmtId="9" fontId="6" fillId="0" borderId="1" xfId="0" applyNumberFormat="1" applyFont="1" applyBorder="1" applyAlignment="1">
      <alignment horizontal="center" vertical="center" wrapText="1"/>
    </xf>
    <xf numFmtId="0" fontId="2" fillId="0" borderId="1" xfId="0" applyFont="1" applyBorder="1" applyAlignment="1">
      <alignment vertical="center" wrapText="1"/>
    </xf>
    <xf numFmtId="165" fontId="10" fillId="5"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2" fontId="7" fillId="0" borderId="1" xfId="0" applyNumberFormat="1" applyFont="1" applyBorder="1" applyAlignment="1">
      <alignment horizontal="center" vertical="center" wrapText="1"/>
    </xf>
    <xf numFmtId="165" fontId="10"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165" fontId="8" fillId="3" borderId="1" xfId="0" applyNumberFormat="1"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165" fontId="8" fillId="5" borderId="1" xfId="0" applyNumberFormat="1" applyFont="1" applyFill="1" applyBorder="1" applyAlignment="1">
      <alignment horizontal="center" vertical="center" wrapText="1"/>
    </xf>
    <xf numFmtId="0" fontId="11" fillId="0" borderId="0" xfId="0" applyFont="1"/>
    <xf numFmtId="0" fontId="7" fillId="6" borderId="1" xfId="0" applyFont="1" applyFill="1" applyBorder="1" applyAlignment="1">
      <alignment vertical="top" wrapText="1"/>
    </xf>
    <xf numFmtId="165" fontId="7" fillId="0" borderId="1" xfId="0" applyNumberFormat="1" applyFont="1" applyBorder="1" applyAlignment="1">
      <alignment vertical="center" wrapText="1"/>
    </xf>
    <xf numFmtId="3"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wrapText="1"/>
    </xf>
    <xf numFmtId="0" fontId="12" fillId="0" borderId="1" xfId="0" applyFont="1" applyBorder="1" applyAlignment="1">
      <alignment vertical="center" wrapText="1"/>
    </xf>
    <xf numFmtId="165" fontId="7" fillId="3" borderId="1" xfId="0" applyNumberFormat="1" applyFont="1" applyFill="1" applyBorder="1" applyAlignment="1">
      <alignment vertical="center" wrapText="1"/>
    </xf>
    <xf numFmtId="3" fontId="7" fillId="3" borderId="1" xfId="0" applyNumberFormat="1" applyFont="1" applyFill="1" applyBorder="1" applyAlignment="1">
      <alignment horizontal="center" vertical="center" wrapText="1"/>
    </xf>
    <xf numFmtId="0" fontId="12" fillId="3" borderId="1" xfId="0" applyFont="1" applyFill="1" applyBorder="1" applyAlignment="1">
      <alignment vertical="center" wrapText="1"/>
    </xf>
    <xf numFmtId="10" fontId="7" fillId="0" borderId="1" xfId="0" applyNumberFormat="1" applyFont="1" applyBorder="1" applyAlignment="1">
      <alignment horizontal="center" vertical="center" wrapText="1"/>
    </xf>
    <xf numFmtId="165" fontId="7" fillId="3" borderId="1" xfId="0" applyNumberFormat="1" applyFont="1" applyFill="1" applyBorder="1" applyAlignment="1">
      <alignment horizontal="center" vertical="center" wrapText="1"/>
    </xf>
    <xf numFmtId="165" fontId="13" fillId="3" borderId="1" xfId="0" applyNumberFormat="1" applyFont="1" applyFill="1" applyBorder="1" applyAlignment="1">
      <alignment horizontal="center" vertical="center" wrapText="1"/>
    </xf>
    <xf numFmtId="10" fontId="7" fillId="3" borderId="1" xfId="0" applyNumberFormat="1" applyFont="1" applyFill="1" applyBorder="1" applyAlignment="1">
      <alignment horizontal="center" vertical="center" wrapText="1"/>
    </xf>
    <xf numFmtId="165" fontId="13" fillId="0" borderId="1" xfId="0" applyNumberFormat="1" applyFont="1" applyBorder="1" applyAlignment="1">
      <alignment horizontal="center" vertical="center" wrapText="1"/>
    </xf>
    <xf numFmtId="0" fontId="14" fillId="2" borderId="0" xfId="0" applyFont="1" applyFill="1" applyAlignment="1">
      <alignment vertical="center"/>
    </xf>
    <xf numFmtId="0" fontId="6" fillId="6"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6" fillId="0" borderId="0" xfId="0" applyFont="1" applyAlignment="1">
      <alignment vertical="top"/>
    </xf>
    <xf numFmtId="0" fontId="5" fillId="4" borderId="0" xfId="0" applyFont="1" applyFill="1" applyAlignment="1">
      <alignment horizontal="center"/>
    </xf>
    <xf numFmtId="0" fontId="0" fillId="4" borderId="0" xfId="0" applyFill="1"/>
    <xf numFmtId="0" fontId="15" fillId="0" borderId="1" xfId="0" applyFont="1" applyBorder="1" applyAlignment="1">
      <alignment horizontal="center" vertical="top" wrapText="1"/>
    </xf>
    <xf numFmtId="0" fontId="7" fillId="0" borderId="1" xfId="0" applyFont="1" applyBorder="1" applyAlignment="1">
      <alignment vertical="top" wrapText="1"/>
    </xf>
    <xf numFmtId="0" fontId="16" fillId="0" borderId="1" xfId="0" applyFont="1" applyBorder="1" applyAlignment="1">
      <alignment horizontal="center" vertical="top"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s://www.realestate.com.au/property-apartment-vic-port+melbourne-152218880" TargetMode="External"/><Relationship Id="rId2" Type="http://schemas.openxmlformats.org/officeDocument/2006/relationships/hyperlink" Target="https://www.realestate.com.au/property-apartment-vic-port+melbourne-151949132" TargetMode="External"/><Relationship Id="rId3" Type="http://schemas.openxmlformats.org/officeDocument/2006/relationships/hyperlink" Target="https://www.realestate.com.au/property-apartment-vic-port+melbourne-151936524" TargetMode="External"/><Relationship Id="rId4" Type="http://schemas.openxmlformats.org/officeDocument/2006/relationships/hyperlink" Target="https://www.realestate.com.au/property-apartment-vic-port+melbourne-151876244" TargetMode="External"/><Relationship Id="rId5" Type="http://schemas.openxmlformats.org/officeDocument/2006/relationships/hyperlink" Target="https://www.realestate.com.au/property-apartment-vic-port+melbourne-151861552" TargetMode="External"/><Relationship Id="rId6" Type="http://schemas.openxmlformats.org/officeDocument/2006/relationships/hyperlink" Target="https://www.realestate.com.au/property-apartment-vic-port+melbourne-151707956" TargetMode="External"/><Relationship Id="rId7" Type="http://schemas.openxmlformats.org/officeDocument/2006/relationships/hyperlink" Target="https://www.realestate.com.au/property-apartment-vic-port+melbourne-151629508" TargetMode="External"/><Relationship Id="rId8" Type="http://schemas.openxmlformats.org/officeDocument/2006/relationships/hyperlink" Target="https://www.realestate.com.au/property-apartment-vic-port+melbourne-151406124" TargetMode="External"/><Relationship Id="rId9" Type="http://schemas.openxmlformats.org/officeDocument/2006/relationships/hyperlink" Target="https://www.realestate.com.au/property-apartment-vic-port+melbourne-150894060" TargetMode="External"/><Relationship Id="rId10" Type="http://schemas.openxmlformats.org/officeDocument/2006/relationships/hyperlink" Target="https://www.realestate.com.au/property-apartment-vic-port+melbourne-148178844"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realestate.com.au/property-apartment-vic-port+melbourne-152218880" TargetMode="External"/><Relationship Id="rId2" Type="http://schemas.openxmlformats.org/officeDocument/2006/relationships/hyperlink" Target="https://www.realestate.com.au/property-apartment-vic-port+melbourne-151949132" TargetMode="External"/><Relationship Id="rId3" Type="http://schemas.openxmlformats.org/officeDocument/2006/relationships/hyperlink" Target="https://www.realestate.com.au/property-apartment-vic-port+melbourne-151936524" TargetMode="External"/><Relationship Id="rId4" Type="http://schemas.openxmlformats.org/officeDocument/2006/relationships/hyperlink" Target="https://www.realestate.com.au/property-apartment-vic-port+melbourne-151876244" TargetMode="External"/><Relationship Id="rId5" Type="http://schemas.openxmlformats.org/officeDocument/2006/relationships/hyperlink" Target="https://www.realestate.com.au/property-apartment-vic-port+melbourne-151861552" TargetMode="External"/><Relationship Id="rId6" Type="http://schemas.openxmlformats.org/officeDocument/2006/relationships/hyperlink" Target="https://www.realestate.com.au/property-apartment-vic-port+melbourne-151707956" TargetMode="External"/><Relationship Id="rId7" Type="http://schemas.openxmlformats.org/officeDocument/2006/relationships/hyperlink" Target="https://www.realestate.com.au/property-apartment-vic-port+melbourne-151629508" TargetMode="External"/><Relationship Id="rId8" Type="http://schemas.openxmlformats.org/officeDocument/2006/relationships/hyperlink" Target="https://www.realestate.com.au/property-apartment-vic-port+melbourne-151406124" TargetMode="External"/><Relationship Id="rId9" Type="http://schemas.openxmlformats.org/officeDocument/2006/relationships/hyperlink" Target="https://www.realestate.com.au/property-apartment-vic-port+melbourne-150894060" TargetMode="External"/><Relationship Id="rId10" Type="http://schemas.openxmlformats.org/officeDocument/2006/relationships/hyperlink" Target="https://www.realestate.com.au/property-apartment-vic-port+melbourne-1481788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7706E"/>
  </sheetPr>
  <dimension ref="A1:H36"/>
  <sheetViews>
    <sheetView workbookViewId="0" showGridLines="0"/>
  </sheetViews>
  <sheetFormatPr defaultRowHeight="15" outlineLevelRow="0" outlineLevelCol="0" x14ac:dyDescent="55"/>
  <cols>
    <col min="1" max="1" width="30" customWidth="1"/>
    <col min="2" max="2" width="34" customWidth="1"/>
    <col min="3" max="3" width="12" customWidth="1"/>
    <col min="4" max="4" width="22" customWidth="1"/>
    <col min="5" max="6" width="8" customWidth="1"/>
    <col min="7" max="7" width="11" customWidth="1"/>
    <col min="8" max="8" width="14" customWidth="1"/>
  </cols>
  <sheetData>
    <row r="1" ht="28" customHeight="1" spans="1:1" x14ac:dyDescent="0.25">
      <c r="A1" s="1" t="s">
        <v>0</v>
      </c>
    </row>
    <row r="2" spans="1:1" x14ac:dyDescent="0.25">
      <c r="A2" s="2" t="s">
        <v>1</v>
      </c>
    </row>
    <row r="3" spans="1:1" x14ac:dyDescent="0.25">
      <c r="A3" s="3" t="s">
        <v>2</v>
      </c>
    </row>
    <row r="5" ht="20" customHeight="1" spans="1:1" x14ac:dyDescent="0.25">
      <c r="A5" s="4" t="s">
        <v>3</v>
      </c>
    </row>
    <row r="6" ht="34" customHeight="1" spans="1:8" x14ac:dyDescent="0.25">
      <c r="A6" s="5" t="s">
        <v>4</v>
      </c>
      <c r="B6" s="5" t="s">
        <v>5</v>
      </c>
      <c r="C6" s="5" t="s">
        <v>6</v>
      </c>
      <c r="D6" s="5" t="s">
        <v>7</v>
      </c>
      <c r="E6" s="5" t="s">
        <v>8</v>
      </c>
      <c r="F6" s="5" t="s">
        <v>9</v>
      </c>
      <c r="G6" s="5" t="s">
        <v>10</v>
      </c>
      <c r="H6" s="5" t="s">
        <v>11</v>
      </c>
    </row>
    <row r="7" spans="1:8" x14ac:dyDescent="0.25">
      <c r="A7" s="6">
        <f>Scoring!S21</f>
      </c>
      <c r="B7" s="7" t="s">
        <v>12</v>
      </c>
      <c r="C7" s="8">
        <f>Scoring!R21</f>
      </c>
      <c r="D7" s="7" t="s">
        <v>13</v>
      </c>
      <c r="E7" s="9">
        <v>1</v>
      </c>
      <c r="F7" s="9">
        <v>1</v>
      </c>
      <c r="G7" s="10">
        <v>55</v>
      </c>
      <c r="H7" s="9" t="s">
        <v>14</v>
      </c>
    </row>
    <row r="8" spans="1:8" x14ac:dyDescent="0.25">
      <c r="A8" s="11">
        <f>Scoring!S22</f>
      </c>
      <c r="B8" s="12" t="s">
        <v>15</v>
      </c>
      <c r="C8" s="13">
        <f>Scoring!R22</f>
      </c>
      <c r="D8" s="12" t="s">
        <v>16</v>
      </c>
      <c r="E8" s="14">
        <v>1</v>
      </c>
      <c r="F8" s="14">
        <v>1</v>
      </c>
      <c r="G8" s="15">
        <v>55</v>
      </c>
      <c r="H8" s="14" t="s">
        <v>14</v>
      </c>
    </row>
    <row r="9" spans="1:8" x14ac:dyDescent="0.25">
      <c r="A9" s="6">
        <f>Scoring!S23</f>
      </c>
      <c r="B9" s="7" t="s">
        <v>17</v>
      </c>
      <c r="C9" s="8">
        <f>Scoring!R23</f>
      </c>
      <c r="D9" s="7" t="s">
        <v>18</v>
      </c>
      <c r="E9" s="9">
        <v>1</v>
      </c>
      <c r="F9" s="9">
        <v>1</v>
      </c>
      <c r="G9" s="10">
        <v>52</v>
      </c>
      <c r="H9" s="9" t="s">
        <v>19</v>
      </c>
    </row>
    <row r="10" spans="1:8" x14ac:dyDescent="0.25">
      <c r="A10" s="11">
        <f>Scoring!S17</f>
      </c>
      <c r="B10" s="12" t="s">
        <v>20</v>
      </c>
      <c r="C10" s="13">
        <f>Scoring!R17</f>
      </c>
      <c r="D10" s="12" t="s">
        <v>21</v>
      </c>
      <c r="E10" s="14">
        <v>2</v>
      </c>
      <c r="F10" s="14">
        <v>1</v>
      </c>
      <c r="G10" s="15">
        <v>65</v>
      </c>
      <c r="H10" s="14" t="s">
        <v>22</v>
      </c>
    </row>
    <row r="11" spans="1:8" x14ac:dyDescent="0.25">
      <c r="A11" s="6">
        <f>Scoring!S24</f>
      </c>
      <c r="B11" s="7" t="s">
        <v>23</v>
      </c>
      <c r="C11" s="8">
        <f>Scoring!R24</f>
      </c>
      <c r="D11" s="7" t="s">
        <v>24</v>
      </c>
      <c r="E11" s="9">
        <v>2</v>
      </c>
      <c r="F11" s="9">
        <v>1</v>
      </c>
      <c r="G11" s="10">
        <v>65</v>
      </c>
      <c r="H11" s="9" t="s">
        <v>25</v>
      </c>
    </row>
    <row r="12" spans="1:8" x14ac:dyDescent="0.25">
      <c r="A12" s="11">
        <f>Scoring!S25</f>
      </c>
      <c r="B12" s="12" t="s">
        <v>26</v>
      </c>
      <c r="C12" s="13">
        <f>Scoring!R25</f>
      </c>
      <c r="D12" s="12" t="s">
        <v>27</v>
      </c>
      <c r="E12" s="14">
        <v>1</v>
      </c>
      <c r="F12" s="14">
        <v>0</v>
      </c>
      <c r="G12" s="15">
        <v>48</v>
      </c>
      <c r="H12" s="14" t="s">
        <v>22</v>
      </c>
    </row>
    <row r="13" spans="1:8" x14ac:dyDescent="0.25">
      <c r="A13" s="6">
        <f>Scoring!S26</f>
      </c>
      <c r="B13" s="7" t="s">
        <v>28</v>
      </c>
      <c r="C13" s="8">
        <f>Scoring!R26</f>
      </c>
      <c r="D13" s="7" t="s">
        <v>29</v>
      </c>
      <c r="E13" s="9">
        <v>1</v>
      </c>
      <c r="F13" s="9">
        <v>1</v>
      </c>
      <c r="G13" s="10">
        <v>48</v>
      </c>
      <c r="H13" s="9" t="s">
        <v>30</v>
      </c>
    </row>
    <row r="14" spans="1:8" x14ac:dyDescent="0.25">
      <c r="A14" s="11">
        <f>Scoring!S20</f>
      </c>
      <c r="B14" s="12" t="s">
        <v>31</v>
      </c>
      <c r="C14" s="13">
        <f>Scoring!R20</f>
      </c>
      <c r="D14" s="12" t="s">
        <v>32</v>
      </c>
      <c r="E14" s="14">
        <v>1</v>
      </c>
      <c r="F14" s="14">
        <v>0</v>
      </c>
      <c r="G14" s="15">
        <v>45</v>
      </c>
      <c r="H14" s="14" t="s">
        <v>30</v>
      </c>
    </row>
    <row r="15" spans="1:8" x14ac:dyDescent="0.25">
      <c r="A15" s="6">
        <f>Scoring!S19</f>
      </c>
      <c r="B15" s="7" t="s">
        <v>33</v>
      </c>
      <c r="C15" s="8">
        <f>Scoring!R19</f>
      </c>
      <c r="D15" s="7" t="s">
        <v>34</v>
      </c>
      <c r="E15" s="9">
        <v>1</v>
      </c>
      <c r="F15" s="9">
        <v>1</v>
      </c>
      <c r="G15" s="10">
        <v>45</v>
      </c>
      <c r="H15" s="9" t="s">
        <v>35</v>
      </c>
    </row>
    <row r="16" spans="1:8" x14ac:dyDescent="0.25">
      <c r="A16" s="11">
        <f>Scoring!S18</f>
      </c>
      <c r="B16" s="12" t="s">
        <v>36</v>
      </c>
      <c r="C16" s="13">
        <f>Scoring!R18</f>
      </c>
      <c r="D16" s="12" t="s">
        <v>37</v>
      </c>
      <c r="E16" s="14">
        <v>1</v>
      </c>
      <c r="F16" s="14">
        <v>1</v>
      </c>
      <c r="G16" s="15">
        <v>52</v>
      </c>
      <c r="H16" s="14" t="s">
        <v>38</v>
      </c>
    </row>
    <row r="18" ht="20" customHeight="1" spans="1:4" x14ac:dyDescent="0.25">
      <c r="A18" s="4" t="s">
        <v>39</v>
      </c>
      <c r="D18" s="4" t="s">
        <v>40</v>
      </c>
    </row>
    <row r="19" ht="15" customHeight="1" spans="1:8" x14ac:dyDescent="0.25">
      <c r="A19" s="7" t="s">
        <v>41</v>
      </c>
      <c r="B19" s="6">
        <f>COUNTA(Comparison!$A$5:$A$14)</f>
      </c>
      <c r="D19" s="16" t="s">
        <v>42</v>
      </c>
      <c r="E19" s="16"/>
      <c r="F19" s="16"/>
      <c r="G19" s="16"/>
      <c r="H19" s="16"/>
    </row>
    <row r="20" ht="15" customHeight="1" spans="1:8" x14ac:dyDescent="0.25">
      <c r="A20" s="12" t="s">
        <v>43</v>
      </c>
      <c r="B20" s="17">
        <f>MIN(Comparison!$L$5:$L$14)</f>
      </c>
      <c r="D20" s="16"/>
      <c r="E20" s="16"/>
      <c r="F20" s="16"/>
      <c r="G20" s="16"/>
      <c r="H20" s="16"/>
    </row>
    <row r="21" ht="15" customHeight="1" spans="1:8" x14ac:dyDescent="0.25">
      <c r="A21" s="7" t="s">
        <v>44</v>
      </c>
      <c r="B21" s="18">
        <f>MAX(Comparison!$L$5:$L$14)</f>
      </c>
      <c r="D21" s="16" t="s">
        <v>45</v>
      </c>
      <c r="E21" s="16"/>
      <c r="F21" s="16"/>
      <c r="G21" s="16"/>
      <c r="H21" s="16"/>
    </row>
    <row r="22" ht="15" customHeight="1" spans="1:8" x14ac:dyDescent="0.25">
      <c r="A22" s="12" t="s">
        <v>46</v>
      </c>
      <c r="B22" s="17">
        <f>ROUND(AVERAGE(Comparison!$L$5:$L$14),0)</f>
      </c>
      <c r="D22" s="16"/>
      <c r="E22" s="16"/>
      <c r="F22" s="16"/>
      <c r="G22" s="16"/>
      <c r="H22" s="16"/>
    </row>
    <row r="23" ht="15" customHeight="1" spans="1:8" x14ac:dyDescent="0.25">
      <c r="A23" s="7" t="s">
        <v>47</v>
      </c>
      <c r="B23" s="6">
        <f>MIN(Comparison!$R$5:$R$14)&amp;" m"</f>
      </c>
      <c r="D23" s="16" t="s">
        <v>48</v>
      </c>
      <c r="E23" s="16"/>
      <c r="F23" s="16"/>
      <c r="G23" s="16"/>
      <c r="H23" s="16"/>
    </row>
    <row r="24" ht="15" customHeight="1" spans="1:8" x14ac:dyDescent="0.25">
      <c r="A24" s="12" t="s">
        <v>49</v>
      </c>
      <c r="B24" s="11">
        <f>MAX(Comparison!$R$5:$R$14)&amp;" m"</f>
      </c>
      <c r="D24" s="16"/>
      <c r="E24" s="16"/>
      <c r="F24" s="16"/>
      <c r="G24" s="16"/>
      <c r="H24" s="16"/>
    </row>
    <row r="25" ht="15" customHeight="1" spans="1:8" x14ac:dyDescent="0.25">
      <c r="A25" s="7" t="s">
        <v>50</v>
      </c>
      <c r="B25" s="6">
        <f>COUNTIF(Comparison!$M$5:$M$14,"&gt;=2")</f>
      </c>
      <c r="D25" s="16" t="s">
        <v>51</v>
      </c>
      <c r="E25" s="16"/>
      <c r="F25" s="16"/>
      <c r="G25" s="16"/>
      <c r="H25" s="16"/>
    </row>
    <row r="26" ht="15" customHeight="1" spans="1:8" x14ac:dyDescent="0.25">
      <c r="A26" s="12" t="s">
        <v>52</v>
      </c>
      <c r="B26" s="11">
        <f>COUNTIF(Comparison!$O$5:$O$14,"&gt;0")</f>
      </c>
      <c r="D26" s="16"/>
      <c r="E26" s="16"/>
      <c r="F26" s="16"/>
      <c r="G26" s="16"/>
      <c r="H26" s="16"/>
    </row>
    <row r="27" ht="15" customHeight="1" spans="1:8" x14ac:dyDescent="0.25">
      <c r="A27" s="7" t="s">
        <v>53</v>
      </c>
      <c r="B27" s="6">
        <v>1</v>
      </c>
      <c r="D27" s="16" t="s">
        <v>54</v>
      </c>
      <c r="E27" s="16"/>
      <c r="F27" s="16"/>
      <c r="G27" s="16"/>
      <c r="H27" s="16"/>
    </row>
    <row r="28" ht="24" customHeight="1" spans="1:8" x14ac:dyDescent="0.25">
      <c r="A28" s="12" t="s">
        <v>55</v>
      </c>
      <c r="B28" s="11">
        <v>9</v>
      </c>
      <c r="D28" s="16"/>
      <c r="E28" s="16"/>
      <c r="F28" s="16"/>
      <c r="G28" s="16"/>
      <c r="H28" s="16"/>
    </row>
    <row r="29" ht="15" customHeight="1" spans="4:8" x14ac:dyDescent="0.25">
      <c r="D29" s="16" t="s">
        <v>56</v>
      </c>
      <c r="E29" s="16"/>
      <c r="F29" s="16"/>
      <c r="G29" s="16"/>
      <c r="H29" s="16"/>
    </row>
    <row r="30" ht="15" customHeight="1" spans="4:8" x14ac:dyDescent="0.25">
      <c r="D30" s="16"/>
      <c r="E30" s="16"/>
      <c r="F30" s="16"/>
      <c r="G30" s="16"/>
      <c r="H30" s="16"/>
    </row>
    <row r="31" ht="15" customHeight="1" spans="4:8" x14ac:dyDescent="0.25">
      <c r="D31" s="16" t="s">
        <v>57</v>
      </c>
      <c r="E31" s="16"/>
      <c r="F31" s="16"/>
      <c r="G31" s="16"/>
      <c r="H31" s="16"/>
    </row>
    <row r="32" ht="24" customHeight="1" spans="4:8" x14ac:dyDescent="0.25">
      <c r="D32" s="16"/>
      <c r="E32" s="16"/>
      <c r="F32" s="16"/>
      <c r="G32" s="16"/>
      <c r="H32" s="16"/>
    </row>
    <row r="33" ht="15" customHeight="1" spans="4:8" x14ac:dyDescent="0.25">
      <c r="D33" s="16" t="s">
        <v>58</v>
      </c>
      <c r="E33" s="16"/>
      <c r="F33" s="16"/>
      <c r="G33" s="16"/>
      <c r="H33" s="16"/>
    </row>
    <row r="34" ht="24" customHeight="1" spans="4:8" x14ac:dyDescent="0.25">
      <c r="D34" s="16"/>
      <c r="E34" s="16"/>
      <c r="F34" s="16"/>
      <c r="G34" s="16"/>
      <c r="H34" s="16"/>
    </row>
    <row r="35" ht="15" customHeight="1" spans="4:8" x14ac:dyDescent="0.25">
      <c r="D35" s="16" t="s">
        <v>59</v>
      </c>
      <c r="E35" s="16"/>
      <c r="F35" s="16"/>
      <c r="G35" s="16"/>
      <c r="H35" s="16"/>
    </row>
    <row r="36" ht="15" customHeight="1" spans="4:8" x14ac:dyDescent="0.25">
      <c r="D36" s="16"/>
      <c r="E36" s="16"/>
      <c r="F36" s="16"/>
      <c r="G36" s="16"/>
      <c r="H36" s="16"/>
    </row>
  </sheetData>
  <mergeCells count="9">
    <mergeCell ref="D19:H20"/>
    <mergeCell ref="D21:H22"/>
    <mergeCell ref="D23:H24"/>
    <mergeCell ref="D25:H26"/>
    <mergeCell ref="D27:H28"/>
    <mergeCell ref="D29:H30"/>
    <mergeCell ref="D31:H32"/>
    <mergeCell ref="D33:H34"/>
    <mergeCell ref="D35:H36"/>
  </mergeCells>
  <conditionalFormatting sqref="C7:C16">
    <cfRule type="dataBar" priority="1">
      <dataBar>
        <cfvo type="min"/>
        <cfvo type="max"/>
        <color rgb="FF17706E"/>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7706E"/>
  </sheetPr>
  <dimension ref="A1:S33"/>
  <sheetViews>
    <sheetView workbookViewId="0" showGridLines="0">
      <pane xSplit="2" ySplit="16" topLeftCell="C17" activePane="bottomRight" state="frozen"/>
      <selection pane="bottomRight"/>
    </sheetView>
  </sheetViews>
  <sheetFormatPr defaultRowHeight="15" outlineLevelRow="0" outlineLevelCol="0" x14ac:dyDescent="55"/>
  <cols>
    <col min="1" max="1" width="7" customWidth="1"/>
    <col min="2" max="2" width="30" customWidth="1"/>
    <col min="3" max="9" width="13" customWidth="1"/>
    <col min="10" max="17" width="11" customWidth="1"/>
    <col min="18" max="18" width="10" customWidth="1"/>
    <col min="19" max="19" width="7" customWidth="1"/>
  </cols>
  <sheetData>
    <row r="1" ht="28" customHeight="1" spans="1:1" x14ac:dyDescent="0.25">
      <c r="A1" s="1" t="s">
        <v>60</v>
      </c>
    </row>
    <row r="2" spans="1:1" x14ac:dyDescent="0.25">
      <c r="A2" s="2" t="s">
        <v>61</v>
      </c>
    </row>
    <row r="4" ht="20" customHeight="1" spans="1:1" x14ac:dyDescent="0.25">
      <c r="A4" s="4" t="s">
        <v>62</v>
      </c>
    </row>
    <row r="5" ht="34" customHeight="1" spans="1:4" x14ac:dyDescent="0.25">
      <c r="A5" s="19" t="s">
        <v>63</v>
      </c>
      <c r="B5" s="19" t="s">
        <v>64</v>
      </c>
      <c r="C5" s="19" t="s">
        <v>65</v>
      </c>
      <c r="D5" s="19" t="s">
        <v>66</v>
      </c>
    </row>
    <row r="6" spans="1:4" x14ac:dyDescent="0.25">
      <c r="A6" s="9">
        <v>1</v>
      </c>
      <c r="B6" s="7" t="s">
        <v>67</v>
      </c>
      <c r="C6" s="20">
        <v>0.333</v>
      </c>
      <c r="D6" s="7" t="s">
        <v>68</v>
      </c>
    </row>
    <row r="7" spans="1:4" x14ac:dyDescent="0.25">
      <c r="A7" s="9">
        <v>2</v>
      </c>
      <c r="B7" s="7" t="s">
        <v>69</v>
      </c>
      <c r="C7" s="20">
        <v>0.233</v>
      </c>
      <c r="D7" s="7" t="s">
        <v>68</v>
      </c>
    </row>
    <row r="8" spans="1:4" x14ac:dyDescent="0.25">
      <c r="A8" s="9">
        <v>3</v>
      </c>
      <c r="B8" s="7" t="s">
        <v>70</v>
      </c>
      <c r="C8" s="20">
        <v>0.167</v>
      </c>
      <c r="D8" s="7" t="s">
        <v>71</v>
      </c>
    </row>
    <row r="9" spans="1:4" x14ac:dyDescent="0.25">
      <c r="A9" s="9">
        <v>4</v>
      </c>
      <c r="B9" s="7" t="s">
        <v>72</v>
      </c>
      <c r="C9" s="20">
        <v>0.117</v>
      </c>
      <c r="D9" s="7" t="s">
        <v>71</v>
      </c>
    </row>
    <row r="10" spans="1:4" x14ac:dyDescent="0.25">
      <c r="A10" s="9">
        <v>5</v>
      </c>
      <c r="B10" s="7" t="s">
        <v>73</v>
      </c>
      <c r="C10" s="20">
        <v>0.067</v>
      </c>
      <c r="D10" s="7" t="s">
        <v>71</v>
      </c>
    </row>
    <row r="11" spans="1:4" x14ac:dyDescent="0.25">
      <c r="A11" s="9">
        <v>6</v>
      </c>
      <c r="B11" s="7" t="s">
        <v>74</v>
      </c>
      <c r="C11" s="20">
        <v>0.05</v>
      </c>
      <c r="D11" s="7" t="s">
        <v>68</v>
      </c>
    </row>
    <row r="12" spans="1:4" x14ac:dyDescent="0.25">
      <c r="A12" s="9">
        <v>7</v>
      </c>
      <c r="B12" s="7" t="s">
        <v>75</v>
      </c>
      <c r="C12" s="20">
        <v>0.033</v>
      </c>
      <c r="D12" s="7" t="s">
        <v>71</v>
      </c>
    </row>
    <row r="13" spans="1:4" x14ac:dyDescent="0.25">
      <c r="A13" s="9"/>
      <c r="B13" s="21" t="s">
        <v>76</v>
      </c>
      <c r="C13" s="22">
        <f>SUM(C6:C12)</f>
      </c>
      <c r="D13" s="23" t="s">
        <v>77</v>
      </c>
    </row>
    <row r="15" ht="20" customHeight="1" spans="1:1" x14ac:dyDescent="0.25">
      <c r="A15" s="4" t="s">
        <v>78</v>
      </c>
    </row>
    <row r="16" ht="34" customHeight="1" spans="1:19" x14ac:dyDescent="0.25">
      <c r="A16" s="5" t="s">
        <v>79</v>
      </c>
      <c r="B16" s="5" t="s">
        <v>5</v>
      </c>
      <c r="C16" s="5" t="s">
        <v>67</v>
      </c>
      <c r="D16" s="5" t="s">
        <v>69</v>
      </c>
      <c r="E16" s="5" t="s">
        <v>70</v>
      </c>
      <c r="F16" s="5" t="s">
        <v>72</v>
      </c>
      <c r="G16" s="5" t="s">
        <v>73</v>
      </c>
      <c r="H16" s="5" t="s">
        <v>74</v>
      </c>
      <c r="I16" s="5" t="s">
        <v>75</v>
      </c>
      <c r="J16" s="5" t="s">
        <v>80</v>
      </c>
      <c r="K16" s="5" t="s">
        <v>81</v>
      </c>
      <c r="L16" s="5" t="s">
        <v>82</v>
      </c>
      <c r="M16" s="5" t="s">
        <v>83</v>
      </c>
      <c r="N16" s="5" t="s">
        <v>84</v>
      </c>
      <c r="O16" s="5" t="s">
        <v>85</v>
      </c>
      <c r="P16" s="5" t="s">
        <v>86</v>
      </c>
      <c r="Q16" s="5" t="s">
        <v>87</v>
      </c>
      <c r="R16" s="5" t="s">
        <v>6</v>
      </c>
      <c r="S16" s="5" t="s">
        <v>4</v>
      </c>
    </row>
    <row r="17" spans="1:19" x14ac:dyDescent="0.25">
      <c r="A17" s="6" t="s">
        <v>88</v>
      </c>
      <c r="B17" s="7" t="s">
        <v>20</v>
      </c>
      <c r="C17" s="24">
        <v>535000</v>
      </c>
      <c r="D17" s="25">
        <v>389</v>
      </c>
      <c r="E17" s="26">
        <v>65</v>
      </c>
      <c r="F17" s="25">
        <v>2</v>
      </c>
      <c r="G17" s="25">
        <v>1</v>
      </c>
      <c r="H17" s="24">
        <v>850</v>
      </c>
      <c r="I17" s="25">
        <v>0</v>
      </c>
      <c r="J17" s="27">
        <f>IFERROR(ROUND(10*($C$29-C17)/($C$29-$C$28),2),10)</f>
      </c>
      <c r="K17" s="27">
        <f>IFERROR(ROUND(10*($D$29-D17)/($D$29-$D$28),2),10)</f>
      </c>
      <c r="L17" s="27">
        <f>IFERROR(ROUND(10*(E17-$E$28)/($E$29-$E$28),2),10)</f>
      </c>
      <c r="M17" s="27">
        <f>IFERROR(ROUND(10*(F17-$F$28)/($F$29-$F$28),2),10)</f>
      </c>
      <c r="N17" s="27">
        <f>IFERROR(ROUND(10*(G17-$G$28)/($G$29-$G$28),2),10)</f>
      </c>
      <c r="O17" s="27">
        <f>IFERROR(ROUND(10*($H$29-H17)/($H$29-$H$28),2),10)</f>
      </c>
      <c r="P17" s="27">
        <f>IFERROR(ROUND(10*(I17-$I$28)/($I$29-$I$28),2),10)</f>
      </c>
      <c r="Q17" s="27">
        <f>ROUND(J17*$C$6+K17*$C$7+L17*$C$8+M17*$C$9+N17*$C$10+O17*$C$11+P17*$C$12,2)</f>
      </c>
      <c r="R17" s="8">
        <f>ROUND(Q17*10,1)</f>
      </c>
      <c r="S17" s="6">
        <f>RANK(Q17,$Q$17:$Q$26)+COUNTIF($Q$17:Q17,Q17)-1</f>
      </c>
    </row>
    <row r="18" spans="1:19" x14ac:dyDescent="0.25">
      <c r="A18" s="11" t="s">
        <v>89</v>
      </c>
      <c r="B18" s="12" t="s">
        <v>36</v>
      </c>
      <c r="C18" s="28">
        <v>570000</v>
      </c>
      <c r="D18" s="29">
        <v>240</v>
      </c>
      <c r="E18" s="15">
        <v>52</v>
      </c>
      <c r="F18" s="29">
        <v>1</v>
      </c>
      <c r="G18" s="29">
        <v>1</v>
      </c>
      <c r="H18" s="30">
        <v>1300</v>
      </c>
      <c r="I18" s="29">
        <v>6.7</v>
      </c>
      <c r="J18" s="31">
        <f>IFERROR(ROUND(10*($C$29-C18)/($C$29-$C$28),2),10)</f>
      </c>
      <c r="K18" s="31">
        <f>IFERROR(ROUND(10*($D$29-D18)/($D$29-$D$28),2),10)</f>
      </c>
      <c r="L18" s="31">
        <f>IFERROR(ROUND(10*(E18-$E$28)/($E$29-$E$28),2),10)</f>
      </c>
      <c r="M18" s="31">
        <f>IFERROR(ROUND(10*(F18-$F$28)/($F$29-$F$28),2),10)</f>
      </c>
      <c r="N18" s="31">
        <f>IFERROR(ROUND(10*(G18-$G$28)/($G$29-$G$28),2),10)</f>
      </c>
      <c r="O18" s="31">
        <f>IFERROR(ROUND(10*($H$29-H18)/($H$29-$H$28),2),10)</f>
      </c>
      <c r="P18" s="31">
        <f>IFERROR(ROUND(10*(I18-$I$28)/($I$29-$I$28),2),10)</f>
      </c>
      <c r="Q18" s="31">
        <f>ROUND(J18*$C$6+K18*$C$7+L18*$C$8+M18*$C$9+N18*$C$10+O18*$C$11+P18*$C$12,2)</f>
      </c>
      <c r="R18" s="13">
        <f>ROUND(Q18*10,1)</f>
      </c>
      <c r="S18" s="11">
        <f>RANK(Q18,$Q$17:$Q$26)+COUNTIF($Q$17:Q18,Q18)-1</f>
      </c>
    </row>
    <row r="19" spans="1:19" x14ac:dyDescent="0.25">
      <c r="A19" s="6" t="s">
        <v>90</v>
      </c>
      <c r="B19" s="7" t="s">
        <v>33</v>
      </c>
      <c r="C19" s="24">
        <v>399000</v>
      </c>
      <c r="D19" s="25">
        <v>687</v>
      </c>
      <c r="E19" s="26">
        <v>45</v>
      </c>
      <c r="F19" s="25">
        <v>1</v>
      </c>
      <c r="G19" s="25">
        <v>1</v>
      </c>
      <c r="H19" s="32">
        <v>550</v>
      </c>
      <c r="I19" s="25">
        <v>0</v>
      </c>
      <c r="J19" s="27">
        <f>IFERROR(ROUND(10*($C$29-C19)/($C$29-$C$28),2),10)</f>
      </c>
      <c r="K19" s="27">
        <f>IFERROR(ROUND(10*($D$29-D19)/($D$29-$D$28),2),10)</f>
      </c>
      <c r="L19" s="27">
        <f>IFERROR(ROUND(10*(E19-$E$28)/($E$29-$E$28),2),10)</f>
      </c>
      <c r="M19" s="27">
        <f>IFERROR(ROUND(10*(F19-$F$28)/($F$29-$F$28),2),10)</f>
      </c>
      <c r="N19" s="27">
        <f>IFERROR(ROUND(10*(G19-$G$28)/($G$29-$G$28),2),10)</f>
      </c>
      <c r="O19" s="27">
        <f>IFERROR(ROUND(10*($H$29-H19)/($H$29-$H$28),2),10)</f>
      </c>
      <c r="P19" s="27">
        <f>IFERROR(ROUND(10*(I19-$I$28)/($I$29-$I$28),2),10)</f>
      </c>
      <c r="Q19" s="27">
        <f>ROUND(J19*$C$6+K19*$C$7+L19*$C$8+M19*$C$9+N19*$C$10+O19*$C$11+P19*$C$12,2)</f>
      </c>
      <c r="R19" s="8">
        <f>ROUND(Q19*10,1)</f>
      </c>
      <c r="S19" s="6">
        <f>RANK(Q19,$Q$17:$Q$26)+COUNTIF($Q$17:Q19,Q19)-1</f>
      </c>
    </row>
    <row r="20" spans="1:19" x14ac:dyDescent="0.25">
      <c r="A20" s="11" t="s">
        <v>91</v>
      </c>
      <c r="B20" s="12" t="s">
        <v>31</v>
      </c>
      <c r="C20" s="28">
        <v>375000</v>
      </c>
      <c r="D20" s="29">
        <v>405</v>
      </c>
      <c r="E20" s="15">
        <v>45</v>
      </c>
      <c r="F20" s="29">
        <v>1</v>
      </c>
      <c r="G20" s="29">
        <v>0</v>
      </c>
      <c r="H20" s="30">
        <v>750</v>
      </c>
      <c r="I20" s="29">
        <v>0</v>
      </c>
      <c r="J20" s="31">
        <f>IFERROR(ROUND(10*($C$29-C20)/($C$29-$C$28),2),10)</f>
      </c>
      <c r="K20" s="31">
        <f>IFERROR(ROUND(10*($D$29-D20)/($D$29-$D$28),2),10)</f>
      </c>
      <c r="L20" s="31">
        <f>IFERROR(ROUND(10*(E20-$E$28)/($E$29-$E$28),2),10)</f>
      </c>
      <c r="M20" s="31">
        <f>IFERROR(ROUND(10*(F20-$F$28)/($F$29-$F$28),2),10)</f>
      </c>
      <c r="N20" s="31">
        <f>IFERROR(ROUND(10*(G20-$G$28)/($G$29-$G$28),2),10)</f>
      </c>
      <c r="O20" s="31">
        <f>IFERROR(ROUND(10*($H$29-H20)/($H$29-$H$28),2),10)</f>
      </c>
      <c r="P20" s="31">
        <f>IFERROR(ROUND(10*(I20-$I$28)/($I$29-$I$28),2),10)</f>
      </c>
      <c r="Q20" s="31">
        <f>ROUND(J20*$C$6+K20*$C$7+L20*$C$8+M20*$C$9+N20*$C$10+O20*$C$11+P20*$C$12,2)</f>
      </c>
      <c r="R20" s="13">
        <f>ROUND(Q20*10,1)</f>
      </c>
      <c r="S20" s="11">
        <f>RANK(Q20,$Q$17:$Q$26)+COUNTIF($Q$17:Q20,Q20)-1</f>
      </c>
    </row>
    <row r="21" spans="1:19" x14ac:dyDescent="0.25">
      <c r="A21" s="6" t="s">
        <v>92</v>
      </c>
      <c r="B21" s="7" t="s">
        <v>12</v>
      </c>
      <c r="C21" s="24">
        <v>415000</v>
      </c>
      <c r="D21" s="25">
        <v>261</v>
      </c>
      <c r="E21" s="26">
        <v>55</v>
      </c>
      <c r="F21" s="25">
        <v>1</v>
      </c>
      <c r="G21" s="25">
        <v>1</v>
      </c>
      <c r="H21" s="32">
        <v>850</v>
      </c>
      <c r="I21" s="25">
        <v>0</v>
      </c>
      <c r="J21" s="27">
        <f>IFERROR(ROUND(10*($C$29-C21)/($C$29-$C$28),2),10)</f>
      </c>
      <c r="K21" s="27">
        <f>IFERROR(ROUND(10*($D$29-D21)/($D$29-$D$28),2),10)</f>
      </c>
      <c r="L21" s="27">
        <f>IFERROR(ROUND(10*(E21-$E$28)/($E$29-$E$28),2),10)</f>
      </c>
      <c r="M21" s="27">
        <f>IFERROR(ROUND(10*(F21-$F$28)/($F$29-$F$28),2),10)</f>
      </c>
      <c r="N21" s="27">
        <f>IFERROR(ROUND(10*(G21-$G$28)/($G$29-$G$28),2),10)</f>
      </c>
      <c r="O21" s="27">
        <f>IFERROR(ROUND(10*($H$29-H21)/($H$29-$H$28),2),10)</f>
      </c>
      <c r="P21" s="27">
        <f>IFERROR(ROUND(10*(I21-$I$28)/($I$29-$I$28),2),10)</f>
      </c>
      <c r="Q21" s="27">
        <f>ROUND(J21*$C$6+K21*$C$7+L21*$C$8+M21*$C$9+N21*$C$10+O21*$C$11+P21*$C$12,2)</f>
      </c>
      <c r="R21" s="8">
        <f>ROUND(Q21*10,1)</f>
      </c>
      <c r="S21" s="6">
        <f>RANK(Q21,$Q$17:$Q$26)+COUNTIF($Q$17:Q21,Q21)-1</f>
      </c>
    </row>
    <row r="22" spans="1:19" x14ac:dyDescent="0.25">
      <c r="A22" s="11" t="s">
        <v>93</v>
      </c>
      <c r="B22" s="12" t="s">
        <v>15</v>
      </c>
      <c r="C22" s="28">
        <v>417000</v>
      </c>
      <c r="D22" s="29">
        <v>261</v>
      </c>
      <c r="E22" s="15">
        <v>55</v>
      </c>
      <c r="F22" s="29">
        <v>1</v>
      </c>
      <c r="G22" s="29">
        <v>1</v>
      </c>
      <c r="H22" s="30">
        <v>850</v>
      </c>
      <c r="I22" s="29">
        <v>0</v>
      </c>
      <c r="J22" s="31">
        <f>IFERROR(ROUND(10*($C$29-C22)/($C$29-$C$28),2),10)</f>
      </c>
      <c r="K22" s="31">
        <f>IFERROR(ROUND(10*($D$29-D22)/($D$29-$D$28),2),10)</f>
      </c>
      <c r="L22" s="31">
        <f>IFERROR(ROUND(10*(E22-$E$28)/($E$29-$E$28),2),10)</f>
      </c>
      <c r="M22" s="31">
        <f>IFERROR(ROUND(10*(F22-$F$28)/($F$29-$F$28),2),10)</f>
      </c>
      <c r="N22" s="31">
        <f>IFERROR(ROUND(10*(G22-$G$28)/($G$29-$G$28),2),10)</f>
      </c>
      <c r="O22" s="31">
        <f>IFERROR(ROUND(10*($H$29-H22)/($H$29-$H$28),2),10)</f>
      </c>
      <c r="P22" s="31">
        <f>IFERROR(ROUND(10*(I22-$I$28)/($I$29-$I$28),2),10)</f>
      </c>
      <c r="Q22" s="31">
        <f>ROUND(J22*$C$6+K22*$C$7+L22*$C$8+M22*$C$9+N22*$C$10+O22*$C$11+P22*$C$12,2)</f>
      </c>
      <c r="R22" s="13">
        <f>ROUND(Q22*10,1)</f>
      </c>
      <c r="S22" s="11">
        <f>RANK(Q22,$Q$17:$Q$26)+COUNTIF($Q$17:Q22,Q22)-1</f>
      </c>
    </row>
    <row r="23" spans="1:19" x14ac:dyDescent="0.25">
      <c r="A23" s="6" t="s">
        <v>94</v>
      </c>
      <c r="B23" s="7" t="s">
        <v>17</v>
      </c>
      <c r="C23" s="24">
        <v>420000</v>
      </c>
      <c r="D23" s="25">
        <v>224</v>
      </c>
      <c r="E23" s="26">
        <v>52</v>
      </c>
      <c r="F23" s="25">
        <v>1</v>
      </c>
      <c r="G23" s="25">
        <v>1</v>
      </c>
      <c r="H23" s="32">
        <v>800</v>
      </c>
      <c r="I23" s="25">
        <v>0</v>
      </c>
      <c r="J23" s="27">
        <f>IFERROR(ROUND(10*($C$29-C23)/($C$29-$C$28),2),10)</f>
      </c>
      <c r="K23" s="27">
        <f>IFERROR(ROUND(10*($D$29-D23)/($D$29-$D$28),2),10)</f>
      </c>
      <c r="L23" s="27">
        <f>IFERROR(ROUND(10*(E23-$E$28)/($E$29-$E$28),2),10)</f>
      </c>
      <c r="M23" s="27">
        <f>IFERROR(ROUND(10*(F23-$F$28)/($F$29-$F$28),2),10)</f>
      </c>
      <c r="N23" s="27">
        <f>IFERROR(ROUND(10*(G23-$G$28)/($G$29-$G$28),2),10)</f>
      </c>
      <c r="O23" s="27">
        <f>IFERROR(ROUND(10*($H$29-H23)/($H$29-$H$28),2),10)</f>
      </c>
      <c r="P23" s="27">
        <f>IFERROR(ROUND(10*(I23-$I$28)/($I$29-$I$28),2),10)</f>
      </c>
      <c r="Q23" s="27">
        <f>ROUND(J23*$C$6+K23*$C$7+L23*$C$8+M23*$C$9+N23*$C$10+O23*$C$11+P23*$C$12,2)</f>
      </c>
      <c r="R23" s="8">
        <f>ROUND(Q23*10,1)</f>
      </c>
      <c r="S23" s="6">
        <f>RANK(Q23,$Q$17:$Q$26)+COUNTIF($Q$17:Q23,Q23)-1</f>
      </c>
    </row>
    <row r="24" spans="1:19" x14ac:dyDescent="0.25">
      <c r="A24" s="11" t="s">
        <v>95</v>
      </c>
      <c r="B24" s="12" t="s">
        <v>23</v>
      </c>
      <c r="C24" s="28">
        <v>557500</v>
      </c>
      <c r="D24" s="29">
        <v>338</v>
      </c>
      <c r="E24" s="15">
        <v>65</v>
      </c>
      <c r="F24" s="29">
        <v>2</v>
      </c>
      <c r="G24" s="29">
        <v>1</v>
      </c>
      <c r="H24" s="30">
        <v>800</v>
      </c>
      <c r="I24" s="29">
        <v>0</v>
      </c>
      <c r="J24" s="31">
        <f>IFERROR(ROUND(10*($C$29-C24)/($C$29-$C$28),2),10)</f>
      </c>
      <c r="K24" s="31">
        <f>IFERROR(ROUND(10*($D$29-D24)/($D$29-$D$28),2),10)</f>
      </c>
      <c r="L24" s="31">
        <f>IFERROR(ROUND(10*(E24-$E$28)/($E$29-$E$28),2),10)</f>
      </c>
      <c r="M24" s="31">
        <f>IFERROR(ROUND(10*(F24-$F$28)/($F$29-$F$28),2),10)</f>
      </c>
      <c r="N24" s="31">
        <f>IFERROR(ROUND(10*(G24-$G$28)/($G$29-$G$28),2),10)</f>
      </c>
      <c r="O24" s="31">
        <f>IFERROR(ROUND(10*($H$29-H24)/($H$29-$H$28),2),10)</f>
      </c>
      <c r="P24" s="31">
        <f>IFERROR(ROUND(10*(I24-$I$28)/($I$29-$I$28),2),10)</f>
      </c>
      <c r="Q24" s="31">
        <f>ROUND(J24*$C$6+K24*$C$7+L24*$C$8+M24*$C$9+N24*$C$10+O24*$C$11+P24*$C$12,2)</f>
      </c>
      <c r="R24" s="13">
        <f>ROUND(Q24*10,1)</f>
      </c>
      <c r="S24" s="11">
        <f>RANK(Q24,$Q$17:$Q$26)+COUNTIF($Q$17:Q24,Q24)-1</f>
      </c>
    </row>
    <row r="25" spans="1:19" x14ac:dyDescent="0.25">
      <c r="A25" s="6" t="s">
        <v>96</v>
      </c>
      <c r="B25" s="7" t="s">
        <v>26</v>
      </c>
      <c r="C25" s="24">
        <v>365000</v>
      </c>
      <c r="D25" s="25">
        <v>389</v>
      </c>
      <c r="E25" s="26">
        <v>48</v>
      </c>
      <c r="F25" s="25">
        <v>1</v>
      </c>
      <c r="G25" s="25">
        <v>0</v>
      </c>
      <c r="H25" s="32">
        <v>700</v>
      </c>
      <c r="I25" s="25">
        <v>0</v>
      </c>
      <c r="J25" s="27">
        <f>IFERROR(ROUND(10*($C$29-C25)/($C$29-$C$28),2),10)</f>
      </c>
      <c r="K25" s="27">
        <f>IFERROR(ROUND(10*($D$29-D25)/($D$29-$D$28),2),10)</f>
      </c>
      <c r="L25" s="27">
        <f>IFERROR(ROUND(10*(E25-$E$28)/($E$29-$E$28),2),10)</f>
      </c>
      <c r="M25" s="27">
        <f>IFERROR(ROUND(10*(F25-$F$28)/($F$29-$F$28),2),10)</f>
      </c>
      <c r="N25" s="27">
        <f>IFERROR(ROUND(10*(G25-$G$28)/($G$29-$G$28),2),10)</f>
      </c>
      <c r="O25" s="27">
        <f>IFERROR(ROUND(10*($H$29-H25)/($H$29-$H$28),2),10)</f>
      </c>
      <c r="P25" s="27">
        <f>IFERROR(ROUND(10*(I25-$I$28)/($I$29-$I$28),2),10)</f>
      </c>
      <c r="Q25" s="27">
        <f>ROUND(J25*$C$6+K25*$C$7+L25*$C$8+M25*$C$9+N25*$C$10+O25*$C$11+P25*$C$12,2)</f>
      </c>
      <c r="R25" s="8">
        <f>ROUND(Q25*10,1)</f>
      </c>
      <c r="S25" s="6">
        <f>RANK(Q25,$Q$17:$Q$26)+COUNTIF($Q$17:Q25,Q25)-1</f>
      </c>
    </row>
    <row r="26" spans="1:19" x14ac:dyDescent="0.25">
      <c r="A26" s="11" t="s">
        <v>97</v>
      </c>
      <c r="B26" s="12" t="s">
        <v>28</v>
      </c>
      <c r="C26" s="28">
        <v>420000</v>
      </c>
      <c r="D26" s="29">
        <v>405</v>
      </c>
      <c r="E26" s="15">
        <v>48</v>
      </c>
      <c r="F26" s="29">
        <v>1</v>
      </c>
      <c r="G26" s="29">
        <v>1</v>
      </c>
      <c r="H26" s="30">
        <v>750</v>
      </c>
      <c r="I26" s="29">
        <v>0</v>
      </c>
      <c r="J26" s="31">
        <f>IFERROR(ROUND(10*($C$29-C26)/($C$29-$C$28),2),10)</f>
      </c>
      <c r="K26" s="31">
        <f>IFERROR(ROUND(10*($D$29-D26)/($D$29-$D$28),2),10)</f>
      </c>
      <c r="L26" s="31">
        <f>IFERROR(ROUND(10*(E26-$E$28)/($E$29-$E$28),2),10)</f>
      </c>
      <c r="M26" s="31">
        <f>IFERROR(ROUND(10*(F26-$F$28)/($F$29-$F$28),2),10)</f>
      </c>
      <c r="N26" s="31">
        <f>IFERROR(ROUND(10*(G26-$G$28)/($G$29-$G$28),2),10)</f>
      </c>
      <c r="O26" s="31">
        <f>IFERROR(ROUND(10*($H$29-H26)/($H$29-$H$28),2),10)</f>
      </c>
      <c r="P26" s="31">
        <f>IFERROR(ROUND(10*(I26-$I$28)/($I$29-$I$28),2),10)</f>
      </c>
      <c r="Q26" s="31">
        <f>ROUND(J26*$C$6+K26*$C$7+L26*$C$8+M26*$C$9+N26*$C$10+O26*$C$11+P26*$C$12,2)</f>
      </c>
      <c r="R26" s="13">
        <f>ROUND(Q26*10,1)</f>
      </c>
      <c r="S26" s="11">
        <f>RANK(Q26,$Q$17:$Q$26)+COUNTIF($Q$17:Q26,Q26)-1</f>
      </c>
    </row>
    <row r="28" spans="2:9" x14ac:dyDescent="0.25">
      <c r="B28" s="33" t="s">
        <v>98</v>
      </c>
      <c r="C28" s="33">
        <f>MIN(C17:C26)</f>
      </c>
      <c r="D28" s="33">
        <f>MIN(D17:D26)</f>
      </c>
      <c r="E28" s="33">
        <f>MIN(E17:E26)</f>
      </c>
      <c r="F28" s="33">
        <f>MIN(F17:F26)</f>
      </c>
      <c r="G28" s="33">
        <f>MIN(G17:G26)</f>
      </c>
      <c r="H28" s="33">
        <f>MIN(H17:H26)</f>
      </c>
      <c r="I28" s="33">
        <f>MIN(I17:I26)</f>
      </c>
    </row>
    <row r="29" spans="2:9" x14ac:dyDescent="0.25">
      <c r="B29" s="33" t="s">
        <v>99</v>
      </c>
      <c r="C29" s="33">
        <f>MAX(C17:C26)</f>
      </c>
      <c r="D29" s="33">
        <f>MAX(D17:D26)</f>
      </c>
      <c r="E29" s="33">
        <f>MAX(E17:E26)</f>
      </c>
      <c r="F29" s="33">
        <f>MAX(F17:F26)</f>
      </c>
      <c r="G29" s="33">
        <f>MAX(G17:G26)</f>
      </c>
      <c r="H29" s="33">
        <f>MAX(H17:H26)</f>
      </c>
      <c r="I29" s="33">
        <f>MAX(I17:I26)</f>
      </c>
    </row>
    <row r="31" spans="1:12" x14ac:dyDescent="0.25">
      <c r="A31" s="34" t="s">
        <v>100</v>
      </c>
      <c r="B31" s="34"/>
      <c r="C31" s="34"/>
      <c r="D31" s="34"/>
      <c r="E31" s="34"/>
      <c r="F31" s="34"/>
      <c r="G31" s="34"/>
      <c r="H31" s="34"/>
      <c r="I31" s="34"/>
      <c r="J31" s="34"/>
      <c r="K31" s="34"/>
      <c r="L31" s="34"/>
    </row>
    <row r="32" spans="1:12" x14ac:dyDescent="0.25">
      <c r="A32" s="34"/>
      <c r="B32" s="34"/>
      <c r="C32" s="34"/>
      <c r="D32" s="34"/>
      <c r="E32" s="34"/>
      <c r="F32" s="34"/>
      <c r="G32" s="34"/>
      <c r="H32" s="34"/>
      <c r="I32" s="34"/>
      <c r="J32" s="34"/>
      <c r="K32" s="34"/>
      <c r="L32" s="34"/>
    </row>
    <row r="33" spans="1:12" x14ac:dyDescent="0.25">
      <c r="A33" s="34"/>
      <c r="B33" s="34"/>
      <c r="C33" s="34"/>
      <c r="D33" s="34"/>
      <c r="E33" s="34"/>
      <c r="F33" s="34"/>
      <c r="G33" s="34"/>
      <c r="H33" s="34"/>
      <c r="I33" s="34"/>
      <c r="J33" s="34"/>
      <c r="K33" s="34"/>
      <c r="L33" s="34"/>
    </row>
  </sheetData>
  <autoFilter ref="A16:S26"/>
  <mergeCells count="1">
    <mergeCell ref="A31:L33"/>
  </mergeCells>
  <conditionalFormatting sqref="J17:P26">
    <cfRule type="colorScale" priority="1">
      <colorScale>
        <cfvo type="min"/>
        <cfvo type="percentile" val="50"/>
        <cfvo type="max"/>
        <color rgb="FFF8696B"/>
        <color rgb="FFFFEB84"/>
        <color rgb="FF63BE7B"/>
      </colorScale>
    </cfRule>
  </conditionalFormatting>
  <conditionalFormatting sqref="R17:R26">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7706E"/>
  </sheetPr>
  <dimension ref="A1:AI18"/>
  <sheetViews>
    <sheetView workbookViewId="0" showGridLines="0">
      <pane xSplit="4" ySplit="4" topLeftCell="E5" activePane="bottomRight" state="frozen"/>
      <selection pane="bottomRight"/>
    </sheetView>
  </sheetViews>
  <sheetFormatPr defaultRowHeight="15" outlineLevelRow="0" outlineLevelCol="0" x14ac:dyDescent="55"/>
  <cols>
    <col min="1" max="2" width="8" customWidth="1"/>
    <col min="3" max="3" width="13" customWidth="1"/>
    <col min="4" max="4" width="30" customWidth="1"/>
    <col min="5" max="5" width="11" customWidth="1"/>
    <col min="6" max="6" width="8" customWidth="1"/>
    <col min="8" max="9" width="14" customWidth="1"/>
    <col min="10" max="10" width="12" customWidth="1"/>
    <col min="11" max="11" width="13" customWidth="1"/>
    <col min="12" max="12" width="17" customWidth="1"/>
    <col min="13" max="15" width="8" customWidth="1"/>
    <col min="16" max="16" width="12" customWidth="1"/>
    <col min="17" max="17" width="14" customWidth="1"/>
    <col min="18" max="19" width="16" customWidth="1"/>
    <col min="20" max="20" width="17" customWidth="1"/>
    <col min="21" max="21" width="16" customWidth="1"/>
    <col min="22" max="22" width="48" customWidth="1"/>
    <col min="23" max="27" width="16" customWidth="1"/>
    <col min="28" max="28" width="8" customWidth="1"/>
    <col min="30" max="30" width="48" customWidth="1"/>
    <col min="31" max="31" width="8" customWidth="1"/>
    <col min="34" max="34" width="16" customWidth="1"/>
    <col min="35" max="35" width="44" customWidth="1"/>
  </cols>
  <sheetData>
    <row r="1" ht="28" customHeight="1" spans="1:1" x14ac:dyDescent="0.25">
      <c r="A1" s="1" t="s">
        <v>101</v>
      </c>
    </row>
    <row r="2" spans="1:1" x14ac:dyDescent="0.25">
      <c r="A2" s="2" t="s">
        <v>102</v>
      </c>
    </row>
    <row r="4" ht="34" customHeight="1" spans="1:35" x14ac:dyDescent="0.25">
      <c r="A4" s="5" t="s">
        <v>79</v>
      </c>
      <c r="B4" s="5" t="s">
        <v>4</v>
      </c>
      <c r="C4" s="5" t="s">
        <v>6</v>
      </c>
      <c r="D4" s="5" t="s">
        <v>103</v>
      </c>
      <c r="E4" s="5" t="s">
        <v>104</v>
      </c>
      <c r="F4" s="5" t="s">
        <v>105</v>
      </c>
      <c r="G4" s="5" t="s">
        <v>106</v>
      </c>
      <c r="H4" s="5" t="s">
        <v>107</v>
      </c>
      <c r="I4" s="5" t="s">
        <v>7</v>
      </c>
      <c r="J4" s="5" t="s">
        <v>108</v>
      </c>
      <c r="K4" s="5" t="s">
        <v>109</v>
      </c>
      <c r="L4" s="5" t="s">
        <v>110</v>
      </c>
      <c r="M4" s="5" t="s">
        <v>8</v>
      </c>
      <c r="N4" s="5" t="s">
        <v>111</v>
      </c>
      <c r="O4" s="5" t="s">
        <v>9</v>
      </c>
      <c r="P4" s="5" t="s">
        <v>10</v>
      </c>
      <c r="Q4" s="5" t="s">
        <v>112</v>
      </c>
      <c r="R4" s="5" t="s">
        <v>113</v>
      </c>
      <c r="S4" s="5" t="s">
        <v>114</v>
      </c>
      <c r="T4" s="5" t="s">
        <v>115</v>
      </c>
      <c r="U4" s="5" t="s">
        <v>116</v>
      </c>
      <c r="V4" s="5" t="s">
        <v>117</v>
      </c>
      <c r="W4" s="5" t="s">
        <v>118</v>
      </c>
      <c r="X4" s="5" t="s">
        <v>119</v>
      </c>
      <c r="Y4" s="5" t="s">
        <v>120</v>
      </c>
      <c r="Z4" s="5" t="s">
        <v>121</v>
      </c>
      <c r="AA4" s="5" t="s">
        <v>122</v>
      </c>
      <c r="AB4" s="5" t="s">
        <v>123</v>
      </c>
      <c r="AC4" s="5" t="s">
        <v>124</v>
      </c>
      <c r="AD4" s="5" t="s">
        <v>125</v>
      </c>
      <c r="AE4" s="5" t="s">
        <v>126</v>
      </c>
      <c r="AF4" s="5" t="s">
        <v>127</v>
      </c>
      <c r="AG4" s="5" t="s">
        <v>128</v>
      </c>
      <c r="AH4" s="5" t="s">
        <v>129</v>
      </c>
      <c r="AI4" s="5" t="s">
        <v>130</v>
      </c>
    </row>
    <row r="5" spans="1:35" x14ac:dyDescent="0.25">
      <c r="A5" s="6" t="s">
        <v>88</v>
      </c>
      <c r="B5" s="6">
        <f>Scoring!S17</f>
      </c>
      <c r="C5" s="8">
        <f>Scoring!R17</f>
      </c>
      <c r="D5" s="7" t="s">
        <v>20</v>
      </c>
      <c r="E5" s="7" t="s">
        <v>131</v>
      </c>
      <c r="F5" s="7" t="s">
        <v>132</v>
      </c>
      <c r="G5" s="7" t="s">
        <v>133</v>
      </c>
      <c r="H5" s="7" t="s">
        <v>134</v>
      </c>
      <c r="I5" s="7" t="s">
        <v>21</v>
      </c>
      <c r="J5" s="35">
        <v>535000</v>
      </c>
      <c r="K5" s="35">
        <v>535000</v>
      </c>
      <c r="L5" s="35">
        <v>535000</v>
      </c>
      <c r="M5" s="9">
        <v>2</v>
      </c>
      <c r="N5" s="9">
        <v>1</v>
      </c>
      <c r="O5" s="9">
        <v>1</v>
      </c>
      <c r="P5" s="10">
        <v>65</v>
      </c>
      <c r="Q5" s="9" t="s">
        <v>135</v>
      </c>
      <c r="R5" s="36">
        <v>389</v>
      </c>
      <c r="S5" s="37">
        <v>850</v>
      </c>
      <c r="T5" s="37">
        <v>3400</v>
      </c>
      <c r="U5" s="38">
        <v>1338</v>
      </c>
      <c r="V5" s="7" t="s">
        <v>136</v>
      </c>
      <c r="W5" s="9">
        <v>0</v>
      </c>
      <c r="X5" s="7" t="s">
        <v>137</v>
      </c>
      <c r="Y5" s="36">
        <v>256</v>
      </c>
      <c r="Z5" s="36">
        <v>642</v>
      </c>
      <c r="AA5" s="36">
        <v>3444</v>
      </c>
      <c r="AB5" s="9" t="s">
        <v>138</v>
      </c>
      <c r="AC5" s="7"/>
      <c r="AD5" s="7" t="s">
        <v>139</v>
      </c>
      <c r="AE5" s="7" t="s">
        <v>140</v>
      </c>
      <c r="AF5" s="7" t="s">
        <v>141</v>
      </c>
      <c r="AG5" s="7" t="s">
        <v>142</v>
      </c>
      <c r="AH5" s="7" t="s">
        <v>143</v>
      </c>
      <c r="AI5" s="39" t="s">
        <v>144</v>
      </c>
    </row>
    <row r="6" spans="1:35" x14ac:dyDescent="0.25">
      <c r="A6" s="11" t="s">
        <v>89</v>
      </c>
      <c r="B6" s="11">
        <f>Scoring!S18</f>
      </c>
      <c r="C6" s="13">
        <f>Scoring!R18</f>
      </c>
      <c r="D6" s="12" t="s">
        <v>36</v>
      </c>
      <c r="E6" s="12" t="s">
        <v>145</v>
      </c>
      <c r="F6" s="12" t="s">
        <v>132</v>
      </c>
      <c r="G6" s="12" t="s">
        <v>133</v>
      </c>
      <c r="H6" s="12" t="s">
        <v>134</v>
      </c>
      <c r="I6" s="12" t="s">
        <v>37</v>
      </c>
      <c r="J6" s="40">
        <v>550000</v>
      </c>
      <c r="K6" s="40">
        <v>590000</v>
      </c>
      <c r="L6" s="40">
        <v>570000</v>
      </c>
      <c r="M6" s="14">
        <v>1</v>
      </c>
      <c r="N6" s="14">
        <v>1</v>
      </c>
      <c r="O6" s="14">
        <v>1</v>
      </c>
      <c r="P6" s="15">
        <v>52</v>
      </c>
      <c r="Q6" s="14" t="s">
        <v>135</v>
      </c>
      <c r="R6" s="41">
        <v>240</v>
      </c>
      <c r="S6" s="30">
        <v>1300</v>
      </c>
      <c r="T6" s="30">
        <v>5200</v>
      </c>
      <c r="U6" s="30">
        <v>1425</v>
      </c>
      <c r="V6" s="12" t="s">
        <v>146</v>
      </c>
      <c r="W6" s="14">
        <v>6.7</v>
      </c>
      <c r="X6" s="12" t="s">
        <v>147</v>
      </c>
      <c r="Y6" s="41">
        <v>639</v>
      </c>
      <c r="Z6" s="41">
        <v>1037</v>
      </c>
      <c r="AA6" s="41">
        <v>3546</v>
      </c>
      <c r="AB6" s="14" t="s">
        <v>148</v>
      </c>
      <c r="AC6" s="12" t="s">
        <v>149</v>
      </c>
      <c r="AD6" s="12" t="s">
        <v>150</v>
      </c>
      <c r="AE6" s="12" t="s">
        <v>151</v>
      </c>
      <c r="AF6" s="12" t="s">
        <v>152</v>
      </c>
      <c r="AG6" s="12" t="s">
        <v>153</v>
      </c>
      <c r="AH6" s="12" t="s">
        <v>154</v>
      </c>
      <c r="AI6" s="42" t="s">
        <v>155</v>
      </c>
    </row>
    <row r="7" spans="1:35" x14ac:dyDescent="0.25">
      <c r="A7" s="6" t="s">
        <v>90</v>
      </c>
      <c r="B7" s="6">
        <f>Scoring!S19</f>
      </c>
      <c r="C7" s="8">
        <f>Scoring!R19</f>
      </c>
      <c r="D7" s="7" t="s">
        <v>33</v>
      </c>
      <c r="E7" s="7" t="s">
        <v>156</v>
      </c>
      <c r="F7" s="7" t="s">
        <v>132</v>
      </c>
      <c r="G7" s="7" t="s">
        <v>157</v>
      </c>
      <c r="H7" s="7" t="s">
        <v>134</v>
      </c>
      <c r="I7" s="7" t="s">
        <v>34</v>
      </c>
      <c r="J7" s="35">
        <v>380000</v>
      </c>
      <c r="K7" s="35">
        <v>418000</v>
      </c>
      <c r="L7" s="35">
        <v>399000</v>
      </c>
      <c r="M7" s="9">
        <v>1</v>
      </c>
      <c r="N7" s="9">
        <v>1</v>
      </c>
      <c r="O7" s="9">
        <v>1</v>
      </c>
      <c r="P7" s="10">
        <v>45</v>
      </c>
      <c r="Q7" s="9" t="s">
        <v>135</v>
      </c>
      <c r="R7" s="36">
        <v>687</v>
      </c>
      <c r="S7" s="38">
        <v>550</v>
      </c>
      <c r="T7" s="38">
        <v>2200</v>
      </c>
      <c r="U7" s="38">
        <v>998</v>
      </c>
      <c r="V7" s="7" t="s">
        <v>158</v>
      </c>
      <c r="W7" s="9">
        <v>0</v>
      </c>
      <c r="X7" s="7" t="s">
        <v>137</v>
      </c>
      <c r="Y7" s="36">
        <v>188</v>
      </c>
      <c r="Z7" s="36">
        <v>956</v>
      </c>
      <c r="AA7" s="36">
        <v>3140</v>
      </c>
      <c r="AB7" s="9"/>
      <c r="AC7" s="7"/>
      <c r="AD7" s="7" t="s">
        <v>159</v>
      </c>
      <c r="AE7" s="7" t="s">
        <v>140</v>
      </c>
      <c r="AF7" s="7" t="s">
        <v>141</v>
      </c>
      <c r="AG7" s="7" t="s">
        <v>160</v>
      </c>
      <c r="AH7" s="7"/>
      <c r="AI7" s="39" t="s">
        <v>161</v>
      </c>
    </row>
    <row r="8" spans="1:35" x14ac:dyDescent="0.25">
      <c r="A8" s="11" t="s">
        <v>91</v>
      </c>
      <c r="B8" s="11">
        <f>Scoring!S20</f>
      </c>
      <c r="C8" s="13">
        <f>Scoring!R20</f>
      </c>
      <c r="D8" s="12" t="s">
        <v>31</v>
      </c>
      <c r="E8" s="12" t="s">
        <v>162</v>
      </c>
      <c r="F8" s="12" t="s">
        <v>132</v>
      </c>
      <c r="G8" s="12" t="s">
        <v>157</v>
      </c>
      <c r="H8" s="12" t="s">
        <v>134</v>
      </c>
      <c r="I8" s="12" t="s">
        <v>32</v>
      </c>
      <c r="J8" s="40">
        <v>360000</v>
      </c>
      <c r="K8" s="40">
        <v>390000</v>
      </c>
      <c r="L8" s="40">
        <v>375000</v>
      </c>
      <c r="M8" s="14">
        <v>1</v>
      </c>
      <c r="N8" s="14">
        <v>1</v>
      </c>
      <c r="O8" s="14">
        <v>0</v>
      </c>
      <c r="P8" s="15">
        <v>45</v>
      </c>
      <c r="Q8" s="14" t="s">
        <v>135</v>
      </c>
      <c r="R8" s="41">
        <v>405</v>
      </c>
      <c r="S8" s="30">
        <v>750</v>
      </c>
      <c r="T8" s="30">
        <v>3000</v>
      </c>
      <c r="U8" s="30">
        <v>938</v>
      </c>
      <c r="V8" s="12" t="s">
        <v>163</v>
      </c>
      <c r="W8" s="14">
        <v>0</v>
      </c>
      <c r="X8" s="12" t="s">
        <v>137</v>
      </c>
      <c r="Y8" s="41">
        <v>281</v>
      </c>
      <c r="Z8" s="41">
        <v>744</v>
      </c>
      <c r="AA8" s="41">
        <v>3422</v>
      </c>
      <c r="AB8" s="14" t="s">
        <v>164</v>
      </c>
      <c r="AC8" s="12"/>
      <c r="AD8" s="12" t="s">
        <v>165</v>
      </c>
      <c r="AE8" s="12" t="s">
        <v>166</v>
      </c>
      <c r="AF8" s="12" t="s">
        <v>167</v>
      </c>
      <c r="AG8" s="12"/>
      <c r="AH8" s="12"/>
      <c r="AI8" s="42" t="s">
        <v>168</v>
      </c>
    </row>
    <row r="9" spans="1:35" x14ac:dyDescent="0.25">
      <c r="A9" s="6" t="s">
        <v>92</v>
      </c>
      <c r="B9" s="6">
        <f>Scoring!S21</f>
      </c>
      <c r="C9" s="8">
        <f>Scoring!R21</f>
      </c>
      <c r="D9" s="7" t="s">
        <v>12</v>
      </c>
      <c r="E9" s="7" t="s">
        <v>169</v>
      </c>
      <c r="F9" s="7" t="s">
        <v>132</v>
      </c>
      <c r="G9" s="7" t="s">
        <v>133</v>
      </c>
      <c r="H9" s="7" t="s">
        <v>134</v>
      </c>
      <c r="I9" s="7" t="s">
        <v>13</v>
      </c>
      <c r="J9" s="35">
        <v>415000</v>
      </c>
      <c r="K9" s="35">
        <v>415000</v>
      </c>
      <c r="L9" s="35">
        <v>415000</v>
      </c>
      <c r="M9" s="9">
        <v>1</v>
      </c>
      <c r="N9" s="9">
        <v>1</v>
      </c>
      <c r="O9" s="9">
        <v>1</v>
      </c>
      <c r="P9" s="10">
        <v>55</v>
      </c>
      <c r="Q9" s="9" t="s">
        <v>135</v>
      </c>
      <c r="R9" s="36">
        <v>261</v>
      </c>
      <c r="S9" s="38">
        <v>850</v>
      </c>
      <c r="T9" s="38">
        <v>3400</v>
      </c>
      <c r="U9" s="38">
        <v>1038</v>
      </c>
      <c r="V9" s="7" t="s">
        <v>170</v>
      </c>
      <c r="W9" s="9">
        <v>0</v>
      </c>
      <c r="X9" s="7" t="s">
        <v>137</v>
      </c>
      <c r="Y9" s="36">
        <v>424</v>
      </c>
      <c r="Z9" s="36">
        <v>411</v>
      </c>
      <c r="AA9" s="36">
        <v>3604</v>
      </c>
      <c r="AB9" s="9" t="s">
        <v>171</v>
      </c>
      <c r="AC9" s="7"/>
      <c r="AD9" s="7" t="s">
        <v>172</v>
      </c>
      <c r="AE9" s="7" t="s">
        <v>173</v>
      </c>
      <c r="AF9" s="7" t="s">
        <v>174</v>
      </c>
      <c r="AG9" s="7"/>
      <c r="AH9" s="7" t="s">
        <v>175</v>
      </c>
      <c r="AI9" s="39" t="s">
        <v>176</v>
      </c>
    </row>
    <row r="10" spans="1:35" x14ac:dyDescent="0.25">
      <c r="A10" s="11" t="s">
        <v>93</v>
      </c>
      <c r="B10" s="11">
        <f>Scoring!S22</f>
      </c>
      <c r="C10" s="13">
        <f>Scoring!R22</f>
      </c>
      <c r="D10" s="12" t="s">
        <v>15</v>
      </c>
      <c r="E10" s="12" t="s">
        <v>169</v>
      </c>
      <c r="F10" s="12" t="s">
        <v>132</v>
      </c>
      <c r="G10" s="12" t="s">
        <v>133</v>
      </c>
      <c r="H10" s="12" t="s">
        <v>134</v>
      </c>
      <c r="I10" s="12" t="s">
        <v>16</v>
      </c>
      <c r="J10" s="40">
        <v>399000</v>
      </c>
      <c r="K10" s="40">
        <v>435000</v>
      </c>
      <c r="L10" s="40">
        <v>417000</v>
      </c>
      <c r="M10" s="14">
        <v>1</v>
      </c>
      <c r="N10" s="14">
        <v>1</v>
      </c>
      <c r="O10" s="14">
        <v>1</v>
      </c>
      <c r="P10" s="15">
        <v>55</v>
      </c>
      <c r="Q10" s="14" t="s">
        <v>135</v>
      </c>
      <c r="R10" s="41">
        <v>261</v>
      </c>
      <c r="S10" s="30">
        <v>850</v>
      </c>
      <c r="T10" s="30">
        <v>3400</v>
      </c>
      <c r="U10" s="30">
        <v>1043</v>
      </c>
      <c r="V10" s="12" t="s">
        <v>177</v>
      </c>
      <c r="W10" s="14">
        <v>0</v>
      </c>
      <c r="X10" s="12" t="s">
        <v>137</v>
      </c>
      <c r="Y10" s="41">
        <v>424</v>
      </c>
      <c r="Z10" s="41">
        <v>411</v>
      </c>
      <c r="AA10" s="41">
        <v>3604</v>
      </c>
      <c r="AB10" s="14" t="s">
        <v>171</v>
      </c>
      <c r="AC10" s="12"/>
      <c r="AD10" s="12" t="s">
        <v>178</v>
      </c>
      <c r="AE10" s="12" t="s">
        <v>179</v>
      </c>
      <c r="AF10" s="12" t="s">
        <v>180</v>
      </c>
      <c r="AG10" s="12"/>
      <c r="AH10" s="12" t="s">
        <v>181</v>
      </c>
      <c r="AI10" s="42" t="s">
        <v>182</v>
      </c>
    </row>
    <row r="11" spans="1:35" x14ac:dyDescent="0.25">
      <c r="A11" s="6" t="s">
        <v>94</v>
      </c>
      <c r="B11" s="6">
        <f>Scoring!S23</f>
      </c>
      <c r="C11" s="8">
        <f>Scoring!R23</f>
      </c>
      <c r="D11" s="7" t="s">
        <v>17</v>
      </c>
      <c r="E11" s="7" t="s">
        <v>183</v>
      </c>
      <c r="F11" s="7" t="s">
        <v>132</v>
      </c>
      <c r="G11" s="7" t="s">
        <v>133</v>
      </c>
      <c r="H11" s="7" t="s">
        <v>134</v>
      </c>
      <c r="I11" s="7" t="s">
        <v>18</v>
      </c>
      <c r="J11" s="35">
        <v>410000</v>
      </c>
      <c r="K11" s="35">
        <v>430000</v>
      </c>
      <c r="L11" s="35">
        <v>420000</v>
      </c>
      <c r="M11" s="9">
        <v>1</v>
      </c>
      <c r="N11" s="9">
        <v>1</v>
      </c>
      <c r="O11" s="9">
        <v>1</v>
      </c>
      <c r="P11" s="10">
        <v>52</v>
      </c>
      <c r="Q11" s="9" t="s">
        <v>135</v>
      </c>
      <c r="R11" s="36">
        <v>224</v>
      </c>
      <c r="S11" s="38">
        <v>800</v>
      </c>
      <c r="T11" s="38">
        <v>3200</v>
      </c>
      <c r="U11" s="38">
        <v>1050</v>
      </c>
      <c r="V11" s="7" t="s">
        <v>184</v>
      </c>
      <c r="W11" s="9">
        <v>0</v>
      </c>
      <c r="X11" s="7" t="s">
        <v>137</v>
      </c>
      <c r="Y11" s="36">
        <v>466</v>
      </c>
      <c r="Z11" s="36">
        <v>702</v>
      </c>
      <c r="AA11" s="36">
        <v>3604</v>
      </c>
      <c r="AB11" s="9" t="s">
        <v>185</v>
      </c>
      <c r="AC11" s="7"/>
      <c r="AD11" s="7" t="s">
        <v>186</v>
      </c>
      <c r="AE11" s="7" t="s">
        <v>187</v>
      </c>
      <c r="AF11" s="7" t="s">
        <v>188</v>
      </c>
      <c r="AG11" s="7"/>
      <c r="AH11" s="7" t="s">
        <v>189</v>
      </c>
      <c r="AI11" s="39" t="s">
        <v>190</v>
      </c>
    </row>
    <row r="12" spans="1:35" x14ac:dyDescent="0.25">
      <c r="A12" s="11" t="s">
        <v>95</v>
      </c>
      <c r="B12" s="11">
        <f>Scoring!S24</f>
      </c>
      <c r="C12" s="13">
        <f>Scoring!R24</f>
      </c>
      <c r="D12" s="12" t="s">
        <v>23</v>
      </c>
      <c r="E12" s="12" t="s">
        <v>191</v>
      </c>
      <c r="F12" s="12" t="s">
        <v>132</v>
      </c>
      <c r="G12" s="12" t="s">
        <v>133</v>
      </c>
      <c r="H12" s="12" t="s">
        <v>134</v>
      </c>
      <c r="I12" s="12" t="s">
        <v>24</v>
      </c>
      <c r="J12" s="40">
        <v>540000</v>
      </c>
      <c r="K12" s="40">
        <v>575000</v>
      </c>
      <c r="L12" s="40">
        <v>557500</v>
      </c>
      <c r="M12" s="14">
        <v>2</v>
      </c>
      <c r="N12" s="14">
        <v>1</v>
      </c>
      <c r="O12" s="14">
        <v>1</v>
      </c>
      <c r="P12" s="15">
        <v>65</v>
      </c>
      <c r="Q12" s="14" t="s">
        <v>135</v>
      </c>
      <c r="R12" s="41">
        <v>338</v>
      </c>
      <c r="S12" s="30">
        <v>800</v>
      </c>
      <c r="T12" s="30">
        <v>3200</v>
      </c>
      <c r="U12" s="30">
        <v>1394</v>
      </c>
      <c r="V12" s="12" t="s">
        <v>192</v>
      </c>
      <c r="W12" s="14">
        <v>0</v>
      </c>
      <c r="X12" s="12" t="s">
        <v>137</v>
      </c>
      <c r="Y12" s="41">
        <v>312</v>
      </c>
      <c r="Z12" s="41">
        <v>556</v>
      </c>
      <c r="AA12" s="41">
        <v>3506</v>
      </c>
      <c r="AB12" s="14" t="s">
        <v>193</v>
      </c>
      <c r="AC12" s="12"/>
      <c r="AD12" s="12" t="s">
        <v>194</v>
      </c>
      <c r="AE12" s="12" t="s">
        <v>151</v>
      </c>
      <c r="AF12" s="12" t="s">
        <v>152</v>
      </c>
      <c r="AG12" s="12"/>
      <c r="AH12" s="12" t="s">
        <v>154</v>
      </c>
      <c r="AI12" s="42" t="s">
        <v>195</v>
      </c>
    </row>
    <row r="13" spans="1:35" x14ac:dyDescent="0.25">
      <c r="A13" s="6" t="s">
        <v>96</v>
      </c>
      <c r="B13" s="6">
        <f>Scoring!S25</f>
      </c>
      <c r="C13" s="8">
        <f>Scoring!R25</f>
      </c>
      <c r="D13" s="7" t="s">
        <v>26</v>
      </c>
      <c r="E13" s="7" t="s">
        <v>131</v>
      </c>
      <c r="F13" s="7" t="s">
        <v>132</v>
      </c>
      <c r="G13" s="7" t="s">
        <v>133</v>
      </c>
      <c r="H13" s="7" t="s">
        <v>134</v>
      </c>
      <c r="I13" s="7" t="s">
        <v>27</v>
      </c>
      <c r="J13" s="35">
        <v>350000</v>
      </c>
      <c r="K13" s="35">
        <v>380000</v>
      </c>
      <c r="L13" s="35">
        <v>365000</v>
      </c>
      <c r="M13" s="9">
        <v>1</v>
      </c>
      <c r="N13" s="9">
        <v>1</v>
      </c>
      <c r="O13" s="9">
        <v>0</v>
      </c>
      <c r="P13" s="10">
        <v>48</v>
      </c>
      <c r="Q13" s="9" t="s">
        <v>135</v>
      </c>
      <c r="R13" s="36">
        <v>389</v>
      </c>
      <c r="S13" s="38">
        <v>700</v>
      </c>
      <c r="T13" s="38">
        <v>2800</v>
      </c>
      <c r="U13" s="38">
        <v>913</v>
      </c>
      <c r="V13" s="7" t="s">
        <v>196</v>
      </c>
      <c r="W13" s="9">
        <v>0</v>
      </c>
      <c r="X13" s="7" t="s">
        <v>137</v>
      </c>
      <c r="Y13" s="36">
        <v>256</v>
      </c>
      <c r="Z13" s="36">
        <v>642</v>
      </c>
      <c r="AA13" s="36">
        <v>3444</v>
      </c>
      <c r="AB13" s="9" t="s">
        <v>197</v>
      </c>
      <c r="AC13" s="7"/>
      <c r="AD13" s="7" t="s">
        <v>198</v>
      </c>
      <c r="AE13" s="7" t="s">
        <v>199</v>
      </c>
      <c r="AF13" s="7" t="s">
        <v>200</v>
      </c>
      <c r="AG13" s="7"/>
      <c r="AH13" s="7" t="s">
        <v>201</v>
      </c>
      <c r="AI13" s="39" t="s">
        <v>202</v>
      </c>
    </row>
    <row r="14" spans="1:35" x14ac:dyDescent="0.25">
      <c r="A14" s="11" t="s">
        <v>97</v>
      </c>
      <c r="B14" s="11">
        <f>Scoring!S26</f>
      </c>
      <c r="C14" s="13">
        <f>Scoring!R26</f>
      </c>
      <c r="D14" s="12" t="s">
        <v>28</v>
      </c>
      <c r="E14" s="12" t="s">
        <v>162</v>
      </c>
      <c r="F14" s="12" t="s">
        <v>132</v>
      </c>
      <c r="G14" s="12" t="s">
        <v>133</v>
      </c>
      <c r="H14" s="12" t="s">
        <v>134</v>
      </c>
      <c r="I14" s="12" t="s">
        <v>29</v>
      </c>
      <c r="J14" s="40">
        <v>420000</v>
      </c>
      <c r="K14" s="40">
        <v>420000</v>
      </c>
      <c r="L14" s="40">
        <v>420000</v>
      </c>
      <c r="M14" s="14">
        <v>1</v>
      </c>
      <c r="N14" s="14">
        <v>1</v>
      </c>
      <c r="O14" s="14">
        <v>1</v>
      </c>
      <c r="P14" s="15">
        <v>48</v>
      </c>
      <c r="Q14" s="14" t="s">
        <v>135</v>
      </c>
      <c r="R14" s="41">
        <v>405</v>
      </c>
      <c r="S14" s="30">
        <v>750</v>
      </c>
      <c r="T14" s="30">
        <v>3000</v>
      </c>
      <c r="U14" s="30">
        <v>1050</v>
      </c>
      <c r="V14" s="12" t="s">
        <v>203</v>
      </c>
      <c r="W14" s="14">
        <v>0</v>
      </c>
      <c r="X14" s="12" t="s">
        <v>137</v>
      </c>
      <c r="Y14" s="41">
        <v>281</v>
      </c>
      <c r="Z14" s="41">
        <v>744</v>
      </c>
      <c r="AA14" s="41">
        <v>3422</v>
      </c>
      <c r="AB14" s="14" t="s">
        <v>171</v>
      </c>
      <c r="AC14" s="12"/>
      <c r="AD14" s="12" t="s">
        <v>204</v>
      </c>
      <c r="AE14" s="12" t="s">
        <v>205</v>
      </c>
      <c r="AF14" s="12" t="s">
        <v>206</v>
      </c>
      <c r="AG14" s="12"/>
      <c r="AH14" s="12"/>
      <c r="AI14" s="42" t="s">
        <v>207</v>
      </c>
    </row>
    <row r="16" spans="1:12" x14ac:dyDescent="0.25">
      <c r="A16" s="34" t="s">
        <v>208</v>
      </c>
      <c r="B16" s="34"/>
      <c r="C16" s="34"/>
      <c r="D16" s="34"/>
      <c r="E16" s="34"/>
      <c r="F16" s="34"/>
      <c r="G16" s="34"/>
      <c r="H16" s="34"/>
      <c r="I16" s="34"/>
      <c r="J16" s="34"/>
      <c r="K16" s="34"/>
      <c r="L16" s="34"/>
    </row>
    <row r="17" spans="1:12" x14ac:dyDescent="0.25">
      <c r="A17" s="34"/>
      <c r="B17" s="34"/>
      <c r="C17" s="34"/>
      <c r="D17" s="34"/>
      <c r="E17" s="34"/>
      <c r="F17" s="34"/>
      <c r="G17" s="34"/>
      <c r="H17" s="34"/>
      <c r="I17" s="34"/>
      <c r="J17" s="34"/>
      <c r="K17" s="34"/>
      <c r="L17" s="34"/>
    </row>
    <row r="18" spans="1:12" x14ac:dyDescent="0.25">
      <c r="A18" s="34"/>
      <c r="B18" s="34"/>
      <c r="C18" s="34"/>
      <c r="D18" s="34"/>
      <c r="E18" s="34"/>
      <c r="F18" s="34"/>
      <c r="G18" s="34"/>
      <c r="H18" s="34"/>
      <c r="I18" s="34"/>
      <c r="J18" s="34"/>
      <c r="K18" s="34"/>
      <c r="L18" s="34"/>
    </row>
  </sheetData>
  <autoFilter ref="A4:AI14"/>
  <mergeCells count="1">
    <mergeCell ref="A16:L18"/>
  </mergeCells>
  <conditionalFormatting sqref="C5:C14">
    <cfRule type="dataBar" priority="1">
      <dataBar>
        <cfvo type="min"/>
        <cfvo type="max"/>
        <color rgb="FF17706E"/>
      </dataBar>
      <extLst>
        <ext xmlns:x14="http://schemas.microsoft.com/office/spreadsheetml/2009/9/main" uri="{B025F937-C7B1-47D3-B67F-A62EFF666E3E}">
          <x14:id/>
        </ext>
      </extLst>
    </cfRule>
  </conditionalFormatting>
  <conditionalFormatting sqref="R5:R14">
    <cfRule type="colorScale" priority="1">
      <colorScale>
        <cfvo type="min"/>
        <cfvo type="percentile" val="50"/>
        <cfvo type="max"/>
        <color rgb="FF63BE7B"/>
        <color rgb="FFFFEB84"/>
        <color rgb="FFF8696B"/>
      </colorScale>
    </cfRule>
  </conditionalFormatting>
  <conditionalFormatting sqref="T5:T14">
    <cfRule type="colorScale" priority="1">
      <colorScale>
        <cfvo type="min"/>
        <cfvo type="percentile" val="50"/>
        <cfvo type="max"/>
        <color rgb="FF63BE7B"/>
        <color rgb="FFFFEB84"/>
        <color rgb="FFF8696B"/>
      </colorScale>
    </cfRule>
  </conditionalFormatting>
  <hyperlinks>
    <hyperlink ref="AI5" r:id="rId1"/>
    <hyperlink ref="AI6" r:id="rId2"/>
    <hyperlink ref="AI7" r:id="rId3"/>
    <hyperlink ref="AI8" r:id="rId4"/>
    <hyperlink ref="AI9" r:id="rId5"/>
    <hyperlink ref="AI10" r:id="rId6"/>
    <hyperlink ref="AI11" r:id="rId7"/>
    <hyperlink ref="AI12" r:id="rId8"/>
    <hyperlink ref="AI13" r:id="rId9"/>
    <hyperlink ref="AI14" r:id="rId10"/>
  </hyperlink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7706E"/>
  </sheetPr>
  <dimension ref="A1:N18"/>
  <sheetViews>
    <sheetView workbookViewId="0" showGridLines="0">
      <pane xSplit="2" ySplit="4" topLeftCell="C5" activePane="bottomRight" state="frozen"/>
      <selection pane="bottomRight"/>
    </sheetView>
  </sheetViews>
  <sheetFormatPr defaultRowHeight="15" outlineLevelRow="0" outlineLevelCol="0" x14ac:dyDescent="55"/>
  <cols>
    <col min="1" max="1" width="7" customWidth="1"/>
    <col min="2" max="2" width="28" customWidth="1"/>
    <col min="3" max="4" width="12" customWidth="1"/>
    <col min="5" max="5" width="13" customWidth="1"/>
    <col min="6" max="6" width="10" customWidth="1"/>
    <col min="7" max="7" width="13" customWidth="1"/>
    <col min="8" max="8" width="52" customWidth="1"/>
    <col min="9" max="9" width="13" customWidth="1"/>
    <col min="10" max="10" width="11" customWidth="1"/>
    <col min="11" max="11" width="13" customWidth="1"/>
    <col min="12" max="12" width="14" customWidth="1"/>
    <col min="13" max="13" width="12" customWidth="1"/>
    <col min="14" max="14" width="14" customWidth="1"/>
  </cols>
  <sheetData>
    <row r="1" ht="28" customHeight="1" spans="1:1" x14ac:dyDescent="0.25">
      <c r="A1" s="1" t="s">
        <v>209</v>
      </c>
    </row>
    <row r="2" spans="1:1" x14ac:dyDescent="0.25">
      <c r="A2" s="2" t="s">
        <v>210</v>
      </c>
    </row>
    <row r="4" ht="34" customHeight="1" spans="1:14" x14ac:dyDescent="0.25">
      <c r="A4" s="5" t="s">
        <v>79</v>
      </c>
      <c r="B4" s="5" t="s">
        <v>5</v>
      </c>
      <c r="C4" s="5" t="s">
        <v>211</v>
      </c>
      <c r="D4" s="5" t="s">
        <v>212</v>
      </c>
      <c r="E4" s="5" t="s">
        <v>213</v>
      </c>
      <c r="F4" s="5" t="s">
        <v>214</v>
      </c>
      <c r="G4" s="5" t="s">
        <v>215</v>
      </c>
      <c r="H4" s="5" t="s">
        <v>216</v>
      </c>
      <c r="I4" s="5" t="s">
        <v>217</v>
      </c>
      <c r="J4" s="5" t="s">
        <v>218</v>
      </c>
      <c r="K4" s="5" t="s">
        <v>219</v>
      </c>
      <c r="L4" s="5" t="s">
        <v>220</v>
      </c>
      <c r="M4" s="5" t="s">
        <v>221</v>
      </c>
      <c r="N4" s="5" t="s">
        <v>222</v>
      </c>
    </row>
    <row r="5" spans="1:14" x14ac:dyDescent="0.25">
      <c r="A5" s="6" t="s">
        <v>88</v>
      </c>
      <c r="B5" s="7" t="s">
        <v>20</v>
      </c>
      <c r="C5" s="37">
        <v>850</v>
      </c>
      <c r="D5" s="37">
        <f>IFERROR(ROUND(C5*4,0),"")</f>
      </c>
      <c r="E5" s="38">
        <v>1338</v>
      </c>
      <c r="F5" s="37">
        <v>0</v>
      </c>
      <c r="G5" s="18">
        <f>IFERROR(D5+E5+F5,"")</f>
      </c>
      <c r="H5" s="7" t="s">
        <v>223</v>
      </c>
      <c r="I5" s="37">
        <v>535000</v>
      </c>
      <c r="J5" s="43">
        <f>IFERROR(G5/I5,"")</f>
      </c>
      <c r="K5" s="37">
        <f>IFERROR(G5*10,"")</f>
      </c>
      <c r="L5" s="37">
        <f>IFERROR(I5+K5,"")</f>
      </c>
      <c r="M5" s="6">
        <f>Scoring!S17</f>
      </c>
      <c r="N5" s="37"/>
    </row>
    <row r="6" spans="1:14" x14ac:dyDescent="0.25">
      <c r="A6" s="11" t="s">
        <v>89</v>
      </c>
      <c r="B6" s="12" t="s">
        <v>36</v>
      </c>
      <c r="C6" s="30">
        <v>1300</v>
      </c>
      <c r="D6" s="30">
        <f>IFERROR(ROUND(C6*4,0),"")</f>
      </c>
      <c r="E6" s="30">
        <v>1425</v>
      </c>
      <c r="F6" s="44">
        <v>0</v>
      </c>
      <c r="G6" s="45">
        <f>IFERROR(D6+E6+F6,"")</f>
      </c>
      <c r="H6" s="12" t="s">
        <v>224</v>
      </c>
      <c r="I6" s="44">
        <v>570000</v>
      </c>
      <c r="J6" s="46">
        <f>IFERROR(G6/I6,"")</f>
      </c>
      <c r="K6" s="44">
        <f>IFERROR(G6*10,"")</f>
      </c>
      <c r="L6" s="44">
        <f>IFERROR(I6+K6,"")</f>
      </c>
      <c r="M6" s="11">
        <f>Scoring!S18</f>
      </c>
      <c r="N6" s="44"/>
    </row>
    <row r="7" spans="1:14" x14ac:dyDescent="0.25">
      <c r="A7" s="6" t="s">
        <v>90</v>
      </c>
      <c r="B7" s="7" t="s">
        <v>33</v>
      </c>
      <c r="C7" s="38">
        <v>550</v>
      </c>
      <c r="D7" s="38">
        <f>IFERROR(ROUND(C7*4,0),"")</f>
      </c>
      <c r="E7" s="38">
        <v>998</v>
      </c>
      <c r="F7" s="37">
        <v>0</v>
      </c>
      <c r="G7" s="47">
        <f>IFERROR(D7+E7+F7,"")</f>
      </c>
      <c r="H7" s="7" t="s">
        <v>225</v>
      </c>
      <c r="I7" s="37">
        <v>399000</v>
      </c>
      <c r="J7" s="43">
        <f>IFERROR(G7/I7,"")</f>
      </c>
      <c r="K7" s="37">
        <f>IFERROR(G7*10,"")</f>
      </c>
      <c r="L7" s="37">
        <f>IFERROR(I7+K7,"")</f>
      </c>
      <c r="M7" s="6">
        <f>Scoring!S19</f>
      </c>
      <c r="N7" s="37"/>
    </row>
    <row r="8" spans="1:14" x14ac:dyDescent="0.25">
      <c r="A8" s="11" t="s">
        <v>91</v>
      </c>
      <c r="B8" s="12" t="s">
        <v>31</v>
      </c>
      <c r="C8" s="30">
        <v>750</v>
      </c>
      <c r="D8" s="30">
        <f>IFERROR(ROUND(C8*4,0),"")</f>
      </c>
      <c r="E8" s="30">
        <v>938</v>
      </c>
      <c r="F8" s="44">
        <v>0</v>
      </c>
      <c r="G8" s="45">
        <f>IFERROR(D8+E8+F8,"")</f>
      </c>
      <c r="H8" s="12" t="s">
        <v>226</v>
      </c>
      <c r="I8" s="44">
        <v>375000</v>
      </c>
      <c r="J8" s="46">
        <f>IFERROR(G8/I8,"")</f>
      </c>
      <c r="K8" s="44">
        <f>IFERROR(G8*10,"")</f>
      </c>
      <c r="L8" s="44">
        <f>IFERROR(I8+K8,"")</f>
      </c>
      <c r="M8" s="11">
        <f>Scoring!S20</f>
      </c>
      <c r="N8" s="44"/>
    </row>
    <row r="9" spans="1:14" x14ac:dyDescent="0.25">
      <c r="A9" s="6" t="s">
        <v>92</v>
      </c>
      <c r="B9" s="7" t="s">
        <v>12</v>
      </c>
      <c r="C9" s="38">
        <v>850</v>
      </c>
      <c r="D9" s="38">
        <f>IFERROR(ROUND(C9*4,0),"")</f>
      </c>
      <c r="E9" s="38">
        <v>1038</v>
      </c>
      <c r="F9" s="37">
        <v>0</v>
      </c>
      <c r="G9" s="47">
        <f>IFERROR(D9+E9+F9,"")</f>
      </c>
      <c r="H9" s="7" t="s">
        <v>227</v>
      </c>
      <c r="I9" s="37">
        <v>415000</v>
      </c>
      <c r="J9" s="43">
        <f>IFERROR(G9/I9,"")</f>
      </c>
      <c r="K9" s="37">
        <f>IFERROR(G9*10,"")</f>
      </c>
      <c r="L9" s="37">
        <f>IFERROR(I9+K9,"")</f>
      </c>
      <c r="M9" s="6">
        <f>Scoring!S21</f>
      </c>
      <c r="N9" s="37"/>
    </row>
    <row r="10" spans="1:14" x14ac:dyDescent="0.25">
      <c r="A10" s="11" t="s">
        <v>93</v>
      </c>
      <c r="B10" s="12" t="s">
        <v>15</v>
      </c>
      <c r="C10" s="30">
        <v>850</v>
      </c>
      <c r="D10" s="30">
        <f>IFERROR(ROUND(C10*4,0),"")</f>
      </c>
      <c r="E10" s="30">
        <v>1043</v>
      </c>
      <c r="F10" s="44">
        <v>0</v>
      </c>
      <c r="G10" s="45">
        <f>IFERROR(D10+E10+F10,"")</f>
      </c>
      <c r="H10" s="12" t="s">
        <v>228</v>
      </c>
      <c r="I10" s="44">
        <v>417000</v>
      </c>
      <c r="J10" s="46">
        <f>IFERROR(G10/I10,"")</f>
      </c>
      <c r="K10" s="44">
        <f>IFERROR(G10*10,"")</f>
      </c>
      <c r="L10" s="44">
        <f>IFERROR(I10+K10,"")</f>
      </c>
      <c r="M10" s="11">
        <f>Scoring!S22</f>
      </c>
      <c r="N10" s="44"/>
    </row>
    <row r="11" spans="1:14" x14ac:dyDescent="0.25">
      <c r="A11" s="6" t="s">
        <v>94</v>
      </c>
      <c r="B11" s="7" t="s">
        <v>17</v>
      </c>
      <c r="C11" s="38">
        <v>800</v>
      </c>
      <c r="D11" s="38">
        <f>IFERROR(ROUND(C11*4,0),"")</f>
      </c>
      <c r="E11" s="38">
        <v>1050</v>
      </c>
      <c r="F11" s="37">
        <v>0</v>
      </c>
      <c r="G11" s="47">
        <f>IFERROR(D11+E11+F11,"")</f>
      </c>
      <c r="H11" s="7" t="s">
        <v>229</v>
      </c>
      <c r="I11" s="37">
        <v>420000</v>
      </c>
      <c r="J11" s="43">
        <f>IFERROR(G11/I11,"")</f>
      </c>
      <c r="K11" s="37">
        <f>IFERROR(G11*10,"")</f>
      </c>
      <c r="L11" s="37">
        <f>IFERROR(I11+K11,"")</f>
      </c>
      <c r="M11" s="6">
        <f>Scoring!S23</f>
      </c>
      <c r="N11" s="37"/>
    </row>
    <row r="12" spans="1:14" x14ac:dyDescent="0.25">
      <c r="A12" s="11" t="s">
        <v>95</v>
      </c>
      <c r="B12" s="12" t="s">
        <v>23</v>
      </c>
      <c r="C12" s="30">
        <v>800</v>
      </c>
      <c r="D12" s="30">
        <f>IFERROR(ROUND(C12*4,0),"")</f>
      </c>
      <c r="E12" s="30">
        <v>1394</v>
      </c>
      <c r="F12" s="44">
        <v>0</v>
      </c>
      <c r="G12" s="45">
        <f>IFERROR(D12+E12+F12,"")</f>
      </c>
      <c r="H12" s="12" t="s">
        <v>230</v>
      </c>
      <c r="I12" s="44">
        <v>557500</v>
      </c>
      <c r="J12" s="46">
        <f>IFERROR(G12/I12,"")</f>
      </c>
      <c r="K12" s="44">
        <f>IFERROR(G12*10,"")</f>
      </c>
      <c r="L12" s="44">
        <f>IFERROR(I12+K12,"")</f>
      </c>
      <c r="M12" s="11">
        <f>Scoring!S24</f>
      </c>
      <c r="N12" s="44"/>
    </row>
    <row r="13" spans="1:14" x14ac:dyDescent="0.25">
      <c r="A13" s="6" t="s">
        <v>96</v>
      </c>
      <c r="B13" s="7" t="s">
        <v>26</v>
      </c>
      <c r="C13" s="38">
        <v>700</v>
      </c>
      <c r="D13" s="38">
        <f>IFERROR(ROUND(C13*4,0),"")</f>
      </c>
      <c r="E13" s="38">
        <v>913</v>
      </c>
      <c r="F13" s="37">
        <v>0</v>
      </c>
      <c r="G13" s="47">
        <f>IFERROR(D13+E13+F13,"")</f>
      </c>
      <c r="H13" s="7" t="s">
        <v>231</v>
      </c>
      <c r="I13" s="37">
        <v>365000</v>
      </c>
      <c r="J13" s="43">
        <f>IFERROR(G13/I13,"")</f>
      </c>
      <c r="K13" s="37">
        <f>IFERROR(G13*10,"")</f>
      </c>
      <c r="L13" s="37">
        <f>IFERROR(I13+K13,"")</f>
      </c>
      <c r="M13" s="6">
        <f>Scoring!S25</f>
      </c>
      <c r="N13" s="37"/>
    </row>
    <row r="14" spans="1:14" x14ac:dyDescent="0.25">
      <c r="A14" s="11" t="s">
        <v>97</v>
      </c>
      <c r="B14" s="12" t="s">
        <v>28</v>
      </c>
      <c r="C14" s="30">
        <v>750</v>
      </c>
      <c r="D14" s="30">
        <f>IFERROR(ROUND(C14*4,0),"")</f>
      </c>
      <c r="E14" s="30">
        <v>1050</v>
      </c>
      <c r="F14" s="44">
        <v>0</v>
      </c>
      <c r="G14" s="45">
        <f>IFERROR(D14+E14+F14,"")</f>
      </c>
      <c r="H14" s="12" t="s">
        <v>232</v>
      </c>
      <c r="I14" s="44">
        <v>420000</v>
      </c>
      <c r="J14" s="46">
        <f>IFERROR(G14/I14,"")</f>
      </c>
      <c r="K14" s="44">
        <f>IFERROR(G14*10,"")</f>
      </c>
      <c r="L14" s="44">
        <f>IFERROR(I14+K14,"")</f>
      </c>
      <c r="M14" s="11">
        <f>Scoring!S26</f>
      </c>
      <c r="N14" s="44"/>
    </row>
    <row r="16" spans="1:14" x14ac:dyDescent="0.25">
      <c r="A16" s="34" t="s">
        <v>233</v>
      </c>
      <c r="B16" s="34"/>
      <c r="C16" s="34"/>
      <c r="D16" s="34"/>
      <c r="E16" s="34"/>
      <c r="F16" s="34"/>
      <c r="G16" s="34"/>
      <c r="H16" s="34"/>
      <c r="I16" s="34"/>
      <c r="J16" s="34"/>
      <c r="K16" s="34"/>
      <c r="L16" s="34"/>
      <c r="M16" s="34"/>
      <c r="N16" s="34"/>
    </row>
    <row r="17" spans="1:14" x14ac:dyDescent="0.25">
      <c r="A17" s="34"/>
      <c r="B17" s="34"/>
      <c r="C17" s="34"/>
      <c r="D17" s="34"/>
      <c r="E17" s="34"/>
      <c r="F17" s="34"/>
      <c r="G17" s="34"/>
      <c r="H17" s="34"/>
      <c r="I17" s="34"/>
      <c r="J17" s="34"/>
      <c r="K17" s="34"/>
      <c r="L17" s="34"/>
      <c r="M17" s="34"/>
      <c r="N17" s="34"/>
    </row>
    <row r="18" spans="1:14" x14ac:dyDescent="0.25">
      <c r="A18" s="34"/>
      <c r="B18" s="34"/>
      <c r="C18" s="34"/>
      <c r="D18" s="34"/>
      <c r="E18" s="34"/>
      <c r="F18" s="34"/>
      <c r="G18" s="34"/>
      <c r="H18" s="34"/>
      <c r="I18" s="34"/>
      <c r="J18" s="34"/>
      <c r="K18" s="34"/>
      <c r="L18" s="34"/>
      <c r="M18" s="34"/>
      <c r="N18" s="34"/>
    </row>
  </sheetData>
  <autoFilter ref="A4:N14"/>
  <mergeCells count="1">
    <mergeCell ref="A16:N18"/>
  </mergeCells>
  <conditionalFormatting sqref="G5:G14">
    <cfRule type="colorScale" priority="1">
      <colorScale>
        <cfvo type="min"/>
        <cfvo type="percentile" val="50"/>
        <cfvo type="max"/>
        <color rgb="FF63BE7B"/>
        <color rgb="FFFFEB84"/>
        <color rgb="FFF8696B"/>
      </colorScale>
    </cfRule>
  </conditionalFormatting>
  <conditionalFormatting sqref="L5:L14">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7706E"/>
  </sheetPr>
  <dimension ref="A1:D134"/>
  <sheetViews>
    <sheetView workbookViewId="0" showGridLines="0"/>
  </sheetViews>
  <sheetFormatPr defaultRowHeight="15" outlineLevelRow="0" outlineLevelCol="0" x14ac:dyDescent="55"/>
  <cols>
    <col min="1" max="1" width="18" customWidth="1"/>
    <col min="2" max="2" width="52" customWidth="1"/>
    <col min="3" max="3" width="18" customWidth="1"/>
    <col min="4" max="4" width="52" customWidth="1"/>
  </cols>
  <sheetData>
    <row r="1" ht="28" customHeight="1" spans="1:1" x14ac:dyDescent="0.25">
      <c r="A1" s="1" t="s">
        <v>234</v>
      </c>
    </row>
    <row r="2" spans="1:1" x14ac:dyDescent="0.25">
      <c r="A2" s="2" t="s">
        <v>235</v>
      </c>
    </row>
    <row r="4" ht="22" customHeight="1" spans="1:4" x14ac:dyDescent="0.25">
      <c r="A4" s="48" t="s">
        <v>236</v>
      </c>
      <c r="B4" s="48"/>
      <c r="C4" s="48"/>
      <c r="D4" s="48"/>
    </row>
    <row r="5" spans="1:4" x14ac:dyDescent="0.25">
      <c r="A5" s="49" t="s">
        <v>13</v>
      </c>
      <c r="B5" s="50" t="s">
        <v>237</v>
      </c>
      <c r="C5" s="50" t="s">
        <v>238</v>
      </c>
      <c r="D5" s="50" t="s">
        <v>133</v>
      </c>
    </row>
    <row r="6" ht="18" customHeight="1" spans="1:4" x14ac:dyDescent="0.25">
      <c r="A6" s="51" t="s">
        <v>239</v>
      </c>
      <c r="B6" s="16" t="s">
        <v>240</v>
      </c>
      <c r="C6" s="16"/>
      <c r="D6" s="16"/>
    </row>
    <row r="7" ht="45" customHeight="1" spans="1:4" x14ac:dyDescent="0.25">
      <c r="A7" s="51" t="s">
        <v>241</v>
      </c>
      <c r="B7" s="16" t="s">
        <v>242</v>
      </c>
      <c r="C7" s="16"/>
      <c r="D7" s="16"/>
    </row>
    <row r="8" spans="1:4" x14ac:dyDescent="0.25">
      <c r="A8" s="52" t="s">
        <v>243</v>
      </c>
      <c r="B8" s="53"/>
      <c r="C8" s="52" t="s">
        <v>244</v>
      </c>
      <c r="D8" s="53"/>
    </row>
    <row r="9" ht="30" customHeight="1" spans="1:4" x14ac:dyDescent="0.25">
      <c r="A9" s="54" t="s">
        <v>245</v>
      </c>
      <c r="B9" s="55" t="s">
        <v>246</v>
      </c>
      <c r="C9" s="56" t="s">
        <v>247</v>
      </c>
      <c r="D9" s="55" t="s">
        <v>248</v>
      </c>
    </row>
    <row r="10" ht="30" customHeight="1" spans="1:4" x14ac:dyDescent="0.25">
      <c r="A10" s="54" t="s">
        <v>245</v>
      </c>
      <c r="B10" s="55" t="s">
        <v>249</v>
      </c>
      <c r="C10" s="56" t="s">
        <v>247</v>
      </c>
      <c r="D10" s="55" t="s">
        <v>250</v>
      </c>
    </row>
    <row r="11" ht="18" customHeight="1" spans="1:4" x14ac:dyDescent="0.25">
      <c r="A11" s="54" t="s">
        <v>245</v>
      </c>
      <c r="B11" s="55" t="s">
        <v>251</v>
      </c>
      <c r="C11" s="56" t="s">
        <v>247</v>
      </c>
      <c r="D11" s="55" t="s">
        <v>252</v>
      </c>
    </row>
    <row r="12" ht="30" customHeight="1" spans="1:4" x14ac:dyDescent="0.25">
      <c r="A12" s="54" t="s">
        <v>245</v>
      </c>
      <c r="B12" s="55" t="s">
        <v>253</v>
      </c>
      <c r="C12" s="56" t="s">
        <v>247</v>
      </c>
      <c r="D12" s="55" t="s">
        <v>254</v>
      </c>
    </row>
    <row r="13" ht="18" customHeight="1" spans="1:4" x14ac:dyDescent="0.25">
      <c r="A13" s="54" t="s">
        <v>245</v>
      </c>
      <c r="B13" s="55" t="s">
        <v>255</v>
      </c>
      <c r="C13" s="56" t="s">
        <v>247</v>
      </c>
      <c r="D13" s="55" t="s">
        <v>256</v>
      </c>
    </row>
    <row r="14" ht="18" customHeight="1" spans="1:4" x14ac:dyDescent="0.25">
      <c r="A14" s="51" t="s">
        <v>257</v>
      </c>
      <c r="B14" s="16" t="s">
        <v>258</v>
      </c>
      <c r="C14" s="16"/>
      <c r="D14" s="16"/>
    </row>
    <row r="17" ht="22" customHeight="1" spans="1:4" x14ac:dyDescent="0.25">
      <c r="A17" s="48" t="s">
        <v>259</v>
      </c>
      <c r="B17" s="48"/>
      <c r="C17" s="48"/>
      <c r="D17" s="48"/>
    </row>
    <row r="18" spans="1:4" x14ac:dyDescent="0.25">
      <c r="A18" s="49" t="s">
        <v>16</v>
      </c>
      <c r="B18" s="50" t="s">
        <v>237</v>
      </c>
      <c r="C18" s="50" t="s">
        <v>238</v>
      </c>
      <c r="D18" s="50" t="s">
        <v>133</v>
      </c>
    </row>
    <row r="19" ht="18" customHeight="1" spans="1:4" x14ac:dyDescent="0.25">
      <c r="A19" s="51" t="s">
        <v>239</v>
      </c>
      <c r="B19" s="16" t="s">
        <v>260</v>
      </c>
      <c r="C19" s="16"/>
      <c r="D19" s="16"/>
    </row>
    <row r="20" ht="30" customHeight="1" spans="1:4" x14ac:dyDescent="0.25">
      <c r="A20" s="51" t="s">
        <v>241</v>
      </c>
      <c r="B20" s="16" t="s">
        <v>261</v>
      </c>
      <c r="C20" s="16"/>
      <c r="D20" s="16"/>
    </row>
    <row r="21" spans="1:4" x14ac:dyDescent="0.25">
      <c r="A21" s="52" t="s">
        <v>243</v>
      </c>
      <c r="B21" s="53"/>
      <c r="C21" s="52" t="s">
        <v>244</v>
      </c>
      <c r="D21" s="53"/>
    </row>
    <row r="22" ht="30" customHeight="1" spans="1:4" x14ac:dyDescent="0.25">
      <c r="A22" s="54" t="s">
        <v>245</v>
      </c>
      <c r="B22" s="55" t="s">
        <v>262</v>
      </c>
      <c r="C22" s="56" t="s">
        <v>247</v>
      </c>
      <c r="D22" s="55" t="s">
        <v>263</v>
      </c>
    </row>
    <row r="23" ht="30" customHeight="1" spans="1:4" x14ac:dyDescent="0.25">
      <c r="A23" s="54" t="s">
        <v>245</v>
      </c>
      <c r="B23" s="55" t="s">
        <v>264</v>
      </c>
      <c r="C23" s="56" t="s">
        <v>247</v>
      </c>
      <c r="D23" s="55" t="s">
        <v>265</v>
      </c>
    </row>
    <row r="24" ht="30" customHeight="1" spans="1:4" x14ac:dyDescent="0.25">
      <c r="A24" s="54" t="s">
        <v>245</v>
      </c>
      <c r="B24" s="55" t="s">
        <v>266</v>
      </c>
      <c r="C24" s="56" t="s">
        <v>247</v>
      </c>
      <c r="D24" s="55" t="s">
        <v>267</v>
      </c>
    </row>
    <row r="25" ht="30" customHeight="1" spans="1:4" x14ac:dyDescent="0.25">
      <c r="A25" s="54" t="s">
        <v>245</v>
      </c>
      <c r="B25" s="55" t="s">
        <v>268</v>
      </c>
      <c r="C25" s="56" t="s">
        <v>247</v>
      </c>
      <c r="D25" s="55" t="s">
        <v>269</v>
      </c>
    </row>
    <row r="26" ht="18" customHeight="1" spans="1:4" x14ac:dyDescent="0.25">
      <c r="A26" s="54" t="s">
        <v>245</v>
      </c>
      <c r="B26" s="55" t="s">
        <v>270</v>
      </c>
      <c r="C26" s="56" t="s">
        <v>247</v>
      </c>
      <c r="D26" s="55" t="s">
        <v>271</v>
      </c>
    </row>
    <row r="27" ht="30" customHeight="1" spans="1:4" x14ac:dyDescent="0.25">
      <c r="A27" s="51" t="s">
        <v>257</v>
      </c>
      <c r="B27" s="16" t="s">
        <v>272</v>
      </c>
      <c r="C27" s="16"/>
      <c r="D27" s="16"/>
    </row>
    <row r="30" ht="22" customHeight="1" spans="1:4" x14ac:dyDescent="0.25">
      <c r="A30" s="48" t="s">
        <v>273</v>
      </c>
      <c r="B30" s="48"/>
      <c r="C30" s="48"/>
      <c r="D30" s="48"/>
    </row>
    <row r="31" spans="1:4" x14ac:dyDescent="0.25">
      <c r="A31" s="49" t="s">
        <v>18</v>
      </c>
      <c r="B31" s="50" t="s">
        <v>274</v>
      </c>
      <c r="C31" s="50" t="s">
        <v>275</v>
      </c>
      <c r="D31" s="50" t="s">
        <v>133</v>
      </c>
    </row>
    <row r="32" ht="18" customHeight="1" spans="1:4" x14ac:dyDescent="0.25">
      <c r="A32" s="51" t="s">
        <v>239</v>
      </c>
      <c r="B32" s="16" t="s">
        <v>276</v>
      </c>
      <c r="C32" s="16"/>
      <c r="D32" s="16"/>
    </row>
    <row r="33" ht="30" customHeight="1" spans="1:4" x14ac:dyDescent="0.25">
      <c r="A33" s="51" t="s">
        <v>241</v>
      </c>
      <c r="B33" s="16" t="s">
        <v>277</v>
      </c>
      <c r="C33" s="16"/>
      <c r="D33" s="16"/>
    </row>
    <row r="34" spans="1:4" x14ac:dyDescent="0.25">
      <c r="A34" s="52" t="s">
        <v>243</v>
      </c>
      <c r="B34" s="53"/>
      <c r="C34" s="52" t="s">
        <v>244</v>
      </c>
      <c r="D34" s="53"/>
    </row>
    <row r="35" ht="30" customHeight="1" spans="1:4" x14ac:dyDescent="0.25">
      <c r="A35" s="54" t="s">
        <v>245</v>
      </c>
      <c r="B35" s="55" t="s">
        <v>278</v>
      </c>
      <c r="C35" s="56" t="s">
        <v>247</v>
      </c>
      <c r="D35" s="55" t="s">
        <v>279</v>
      </c>
    </row>
    <row r="36" ht="30" customHeight="1" spans="1:4" x14ac:dyDescent="0.25">
      <c r="A36" s="54" t="s">
        <v>245</v>
      </c>
      <c r="B36" s="55" t="s">
        <v>280</v>
      </c>
      <c r="C36" s="56" t="s">
        <v>247</v>
      </c>
      <c r="D36" s="55" t="s">
        <v>281</v>
      </c>
    </row>
    <row r="37" ht="18" customHeight="1" spans="1:4" x14ac:dyDescent="0.25">
      <c r="A37" s="54" t="s">
        <v>245</v>
      </c>
      <c r="B37" s="55" t="s">
        <v>282</v>
      </c>
      <c r="C37" s="56" t="s">
        <v>247</v>
      </c>
      <c r="D37" s="55" t="s">
        <v>283</v>
      </c>
    </row>
    <row r="38" ht="30" customHeight="1" spans="1:4" x14ac:dyDescent="0.25">
      <c r="A38" s="54" t="s">
        <v>245</v>
      </c>
      <c r="B38" s="55" t="s">
        <v>284</v>
      </c>
      <c r="C38" s="56" t="s">
        <v>247</v>
      </c>
      <c r="D38" s="55" t="s">
        <v>285</v>
      </c>
    </row>
    <row r="39" ht="30" customHeight="1" spans="1:4" x14ac:dyDescent="0.25">
      <c r="A39" s="54" t="s">
        <v>245</v>
      </c>
      <c r="B39" s="55" t="s">
        <v>286</v>
      </c>
      <c r="C39" s="56" t="s">
        <v>247</v>
      </c>
      <c r="D39" s="55" t="s">
        <v>287</v>
      </c>
    </row>
    <row r="40" ht="30" customHeight="1" spans="1:4" x14ac:dyDescent="0.25">
      <c r="A40" s="51" t="s">
        <v>257</v>
      </c>
      <c r="B40" s="16" t="s">
        <v>288</v>
      </c>
      <c r="C40" s="16"/>
      <c r="D40" s="16"/>
    </row>
    <row r="43" ht="22" customHeight="1" spans="1:4" x14ac:dyDescent="0.25">
      <c r="A43" s="48" t="s">
        <v>289</v>
      </c>
      <c r="B43" s="48"/>
      <c r="C43" s="48"/>
      <c r="D43" s="48"/>
    </row>
    <row r="44" spans="1:4" x14ac:dyDescent="0.25">
      <c r="A44" s="49" t="s">
        <v>21</v>
      </c>
      <c r="B44" s="50" t="s">
        <v>290</v>
      </c>
      <c r="C44" s="50" t="s">
        <v>291</v>
      </c>
      <c r="D44" s="50" t="s">
        <v>133</v>
      </c>
    </row>
    <row r="45" ht="18" customHeight="1" spans="1:4" x14ac:dyDescent="0.25">
      <c r="A45" s="51" t="s">
        <v>239</v>
      </c>
      <c r="B45" s="16" t="s">
        <v>292</v>
      </c>
      <c r="C45" s="16"/>
      <c r="D45" s="16"/>
    </row>
    <row r="46" ht="45" customHeight="1" spans="1:4" x14ac:dyDescent="0.25">
      <c r="A46" s="51" t="s">
        <v>241</v>
      </c>
      <c r="B46" s="16" t="s">
        <v>293</v>
      </c>
      <c r="C46" s="16"/>
      <c r="D46" s="16"/>
    </row>
    <row r="47" spans="1:4" x14ac:dyDescent="0.25">
      <c r="A47" s="52" t="s">
        <v>243</v>
      </c>
      <c r="B47" s="53"/>
      <c r="C47" s="52" t="s">
        <v>244</v>
      </c>
      <c r="D47" s="53"/>
    </row>
    <row r="48" ht="30" customHeight="1" spans="1:4" x14ac:dyDescent="0.25">
      <c r="A48" s="54" t="s">
        <v>245</v>
      </c>
      <c r="B48" s="55" t="s">
        <v>294</v>
      </c>
      <c r="C48" s="56" t="s">
        <v>247</v>
      </c>
      <c r="D48" s="55" t="s">
        <v>295</v>
      </c>
    </row>
    <row r="49" ht="45" customHeight="1" spans="1:4" x14ac:dyDescent="0.25">
      <c r="A49" s="54" t="s">
        <v>245</v>
      </c>
      <c r="B49" s="55" t="s">
        <v>296</v>
      </c>
      <c r="C49" s="56" t="s">
        <v>247</v>
      </c>
      <c r="D49" s="55" t="s">
        <v>297</v>
      </c>
    </row>
    <row r="50" ht="30" customHeight="1" spans="1:4" x14ac:dyDescent="0.25">
      <c r="A50" s="54" t="s">
        <v>245</v>
      </c>
      <c r="B50" s="55" t="s">
        <v>298</v>
      </c>
      <c r="C50" s="56" t="s">
        <v>247</v>
      </c>
      <c r="D50" s="55" t="s">
        <v>299</v>
      </c>
    </row>
    <row r="51" ht="30" customHeight="1" spans="1:4" x14ac:dyDescent="0.25">
      <c r="A51" s="54" t="s">
        <v>245</v>
      </c>
      <c r="B51" s="55" t="s">
        <v>300</v>
      </c>
      <c r="C51" s="56" t="s">
        <v>247</v>
      </c>
      <c r="D51" s="55" t="s">
        <v>301</v>
      </c>
    </row>
    <row r="52" ht="30" customHeight="1" spans="1:4" x14ac:dyDescent="0.25">
      <c r="A52" s="54" t="s">
        <v>245</v>
      </c>
      <c r="B52" s="55" t="s">
        <v>302</v>
      </c>
      <c r="C52" s="56" t="s">
        <v>247</v>
      </c>
      <c r="D52" s="55" t="s">
        <v>303</v>
      </c>
    </row>
    <row r="53" ht="30" customHeight="1" spans="1:4" x14ac:dyDescent="0.25">
      <c r="A53" s="54" t="s">
        <v>245</v>
      </c>
      <c r="B53" s="55" t="s">
        <v>304</v>
      </c>
      <c r="C53" s="56" t="s">
        <v>247</v>
      </c>
      <c r="D53" s="55" t="s">
        <v>305</v>
      </c>
    </row>
    <row r="54" ht="30" customHeight="1" spans="1:4" x14ac:dyDescent="0.25">
      <c r="A54" s="51" t="s">
        <v>257</v>
      </c>
      <c r="B54" s="16" t="s">
        <v>306</v>
      </c>
      <c r="C54" s="16"/>
      <c r="D54" s="16"/>
    </row>
    <row r="57" ht="22" customHeight="1" spans="1:4" x14ac:dyDescent="0.25">
      <c r="A57" s="48" t="s">
        <v>307</v>
      </c>
      <c r="B57" s="48"/>
      <c r="C57" s="48"/>
      <c r="D57" s="48"/>
    </row>
    <row r="58" spans="1:4" x14ac:dyDescent="0.25">
      <c r="A58" s="49" t="s">
        <v>24</v>
      </c>
      <c r="B58" s="50" t="s">
        <v>290</v>
      </c>
      <c r="C58" s="50" t="s">
        <v>308</v>
      </c>
      <c r="D58" s="50" t="s">
        <v>133</v>
      </c>
    </row>
    <row r="59" ht="18" customHeight="1" spans="1:4" x14ac:dyDescent="0.25">
      <c r="A59" s="51" t="s">
        <v>239</v>
      </c>
      <c r="B59" s="16" t="s">
        <v>309</v>
      </c>
      <c r="C59" s="16"/>
      <c r="D59" s="16"/>
    </row>
    <row r="60" ht="30" customHeight="1" spans="1:4" x14ac:dyDescent="0.25">
      <c r="A60" s="51" t="s">
        <v>241</v>
      </c>
      <c r="B60" s="16" t="s">
        <v>310</v>
      </c>
      <c r="C60" s="16"/>
      <c r="D60" s="16"/>
    </row>
    <row r="61" spans="1:4" x14ac:dyDescent="0.25">
      <c r="A61" s="52" t="s">
        <v>243</v>
      </c>
      <c r="B61" s="53"/>
      <c r="C61" s="52" t="s">
        <v>244</v>
      </c>
      <c r="D61" s="53"/>
    </row>
    <row r="62" ht="30" customHeight="1" spans="1:4" x14ac:dyDescent="0.25">
      <c r="A62" s="54" t="s">
        <v>245</v>
      </c>
      <c r="B62" s="55" t="s">
        <v>311</v>
      </c>
      <c r="C62" s="56" t="s">
        <v>247</v>
      </c>
      <c r="D62" s="55" t="s">
        <v>312</v>
      </c>
    </row>
    <row r="63" ht="18" customHeight="1" spans="1:4" x14ac:dyDescent="0.25">
      <c r="A63" s="54" t="s">
        <v>245</v>
      </c>
      <c r="B63" s="55" t="s">
        <v>313</v>
      </c>
      <c r="C63" s="56" t="s">
        <v>247</v>
      </c>
      <c r="D63" s="55" t="s">
        <v>295</v>
      </c>
    </row>
    <row r="64" ht="45" customHeight="1" spans="1:4" x14ac:dyDescent="0.25">
      <c r="A64" s="54" t="s">
        <v>245</v>
      </c>
      <c r="B64" s="55" t="s">
        <v>314</v>
      </c>
      <c r="C64" s="56" t="s">
        <v>247</v>
      </c>
      <c r="D64" s="55" t="s">
        <v>315</v>
      </c>
    </row>
    <row r="65" ht="30" customHeight="1" spans="1:4" x14ac:dyDescent="0.25">
      <c r="A65" s="54" t="s">
        <v>245</v>
      </c>
      <c r="B65" s="55" t="s">
        <v>316</v>
      </c>
      <c r="C65" s="56" t="s">
        <v>247</v>
      </c>
      <c r="D65" s="55" t="s">
        <v>317</v>
      </c>
    </row>
    <row r="66" ht="18" customHeight="1" spans="1:4" x14ac:dyDescent="0.25">
      <c r="A66" s="54" t="s">
        <v>137</v>
      </c>
      <c r="B66" s="55" t="s">
        <v>137</v>
      </c>
      <c r="C66" s="56" t="s">
        <v>247</v>
      </c>
      <c r="D66" s="55" t="s">
        <v>318</v>
      </c>
    </row>
    <row r="67" ht="18" customHeight="1" spans="1:4" x14ac:dyDescent="0.25">
      <c r="A67" s="54" t="s">
        <v>137</v>
      </c>
      <c r="B67" s="55" t="s">
        <v>137</v>
      </c>
      <c r="C67" s="56" t="s">
        <v>247</v>
      </c>
      <c r="D67" s="55" t="s">
        <v>319</v>
      </c>
    </row>
    <row r="68" ht="30" customHeight="1" spans="1:4" x14ac:dyDescent="0.25">
      <c r="A68" s="51" t="s">
        <v>257</v>
      </c>
      <c r="B68" s="16" t="s">
        <v>320</v>
      </c>
      <c r="C68" s="16"/>
      <c r="D68" s="16"/>
    </row>
    <row r="71" ht="22" customHeight="1" spans="1:4" x14ac:dyDescent="0.25">
      <c r="A71" s="48" t="s">
        <v>321</v>
      </c>
      <c r="B71" s="48"/>
      <c r="C71" s="48"/>
      <c r="D71" s="48"/>
    </row>
    <row r="72" spans="1:4" x14ac:dyDescent="0.25">
      <c r="A72" s="49" t="s">
        <v>27</v>
      </c>
      <c r="B72" s="50" t="s">
        <v>322</v>
      </c>
      <c r="C72" s="50" t="s">
        <v>291</v>
      </c>
      <c r="D72" s="50" t="s">
        <v>133</v>
      </c>
    </row>
    <row r="73" ht="18" customHeight="1" spans="1:4" x14ac:dyDescent="0.25">
      <c r="A73" s="51" t="s">
        <v>239</v>
      </c>
      <c r="B73" s="16" t="s">
        <v>323</v>
      </c>
      <c r="C73" s="16"/>
      <c r="D73" s="16"/>
    </row>
    <row r="74" ht="30" customHeight="1" spans="1:4" x14ac:dyDescent="0.25">
      <c r="A74" s="51" t="s">
        <v>241</v>
      </c>
      <c r="B74" s="16" t="s">
        <v>324</v>
      </c>
      <c r="C74" s="16"/>
      <c r="D74" s="16"/>
    </row>
    <row r="75" spans="1:4" x14ac:dyDescent="0.25">
      <c r="A75" s="52" t="s">
        <v>243</v>
      </c>
      <c r="B75" s="53"/>
      <c r="C75" s="52" t="s">
        <v>244</v>
      </c>
      <c r="D75" s="53"/>
    </row>
    <row r="76" ht="30" customHeight="1" spans="1:4" x14ac:dyDescent="0.25">
      <c r="A76" s="54" t="s">
        <v>245</v>
      </c>
      <c r="B76" s="55" t="s">
        <v>325</v>
      </c>
      <c r="C76" s="56" t="s">
        <v>247</v>
      </c>
      <c r="D76" s="55" t="s">
        <v>326</v>
      </c>
    </row>
    <row r="77" ht="30" customHeight="1" spans="1:4" x14ac:dyDescent="0.25">
      <c r="A77" s="54" t="s">
        <v>245</v>
      </c>
      <c r="B77" s="55" t="s">
        <v>327</v>
      </c>
      <c r="C77" s="56" t="s">
        <v>247</v>
      </c>
      <c r="D77" s="55" t="s">
        <v>328</v>
      </c>
    </row>
    <row r="78" ht="30" customHeight="1" spans="1:4" x14ac:dyDescent="0.25">
      <c r="A78" s="54" t="s">
        <v>245</v>
      </c>
      <c r="B78" s="55" t="s">
        <v>329</v>
      </c>
      <c r="C78" s="56" t="s">
        <v>247</v>
      </c>
      <c r="D78" s="55" t="s">
        <v>330</v>
      </c>
    </row>
    <row r="79" ht="30" customHeight="1" spans="1:4" x14ac:dyDescent="0.25">
      <c r="A79" s="54" t="s">
        <v>245</v>
      </c>
      <c r="B79" s="55" t="s">
        <v>331</v>
      </c>
      <c r="C79" s="56" t="s">
        <v>247</v>
      </c>
      <c r="D79" s="55" t="s">
        <v>332</v>
      </c>
    </row>
    <row r="80" ht="18" customHeight="1" spans="1:4" x14ac:dyDescent="0.25">
      <c r="A80" s="54" t="s">
        <v>245</v>
      </c>
      <c r="B80" s="55" t="s">
        <v>333</v>
      </c>
      <c r="C80" s="56" t="s">
        <v>247</v>
      </c>
      <c r="D80" s="55" t="s">
        <v>334</v>
      </c>
    </row>
    <row r="81" ht="30" customHeight="1" spans="1:4" x14ac:dyDescent="0.25">
      <c r="A81" s="51" t="s">
        <v>257</v>
      </c>
      <c r="B81" s="16" t="s">
        <v>335</v>
      </c>
      <c r="C81" s="16"/>
      <c r="D81" s="16"/>
    </row>
    <row r="84" ht="22" customHeight="1" spans="1:4" x14ac:dyDescent="0.25">
      <c r="A84" s="48" t="s">
        <v>336</v>
      </c>
      <c r="B84" s="48"/>
      <c r="C84" s="48"/>
      <c r="D84" s="48"/>
    </row>
    <row r="85" spans="1:4" x14ac:dyDescent="0.25">
      <c r="A85" s="49" t="s">
        <v>29</v>
      </c>
      <c r="B85" s="50" t="s">
        <v>337</v>
      </c>
      <c r="C85" s="50" t="s">
        <v>338</v>
      </c>
      <c r="D85" s="50" t="s">
        <v>133</v>
      </c>
    </row>
    <row r="86" ht="18" customHeight="1" spans="1:4" x14ac:dyDescent="0.25">
      <c r="A86" s="51" t="s">
        <v>239</v>
      </c>
      <c r="B86" s="16" t="s">
        <v>339</v>
      </c>
      <c r="C86" s="16"/>
      <c r="D86" s="16"/>
    </row>
    <row r="87" ht="30" customHeight="1" spans="1:4" x14ac:dyDescent="0.25">
      <c r="A87" s="51" t="s">
        <v>241</v>
      </c>
      <c r="B87" s="16" t="s">
        <v>340</v>
      </c>
      <c r="C87" s="16"/>
      <c r="D87" s="16"/>
    </row>
    <row r="88" spans="1:4" x14ac:dyDescent="0.25">
      <c r="A88" s="52" t="s">
        <v>243</v>
      </c>
      <c r="B88" s="53"/>
      <c r="C88" s="52" t="s">
        <v>244</v>
      </c>
      <c r="D88" s="53"/>
    </row>
    <row r="89" ht="30" customHeight="1" spans="1:4" x14ac:dyDescent="0.25">
      <c r="A89" s="54" t="s">
        <v>245</v>
      </c>
      <c r="B89" s="55" t="s">
        <v>341</v>
      </c>
      <c r="C89" s="56" t="s">
        <v>247</v>
      </c>
      <c r="D89" s="55" t="s">
        <v>342</v>
      </c>
    </row>
    <row r="90" ht="30" customHeight="1" spans="1:4" x14ac:dyDescent="0.25">
      <c r="A90" s="54" t="s">
        <v>245</v>
      </c>
      <c r="B90" s="55" t="s">
        <v>343</v>
      </c>
      <c r="C90" s="56" t="s">
        <v>247</v>
      </c>
      <c r="D90" s="55" t="s">
        <v>344</v>
      </c>
    </row>
    <row r="91" ht="30" customHeight="1" spans="1:4" x14ac:dyDescent="0.25">
      <c r="A91" s="54" t="s">
        <v>245</v>
      </c>
      <c r="B91" s="55" t="s">
        <v>345</v>
      </c>
      <c r="C91" s="56" t="s">
        <v>247</v>
      </c>
      <c r="D91" s="55" t="s">
        <v>346</v>
      </c>
    </row>
    <row r="92" ht="30" customHeight="1" spans="1:4" x14ac:dyDescent="0.25">
      <c r="A92" s="54" t="s">
        <v>245</v>
      </c>
      <c r="B92" s="55" t="s">
        <v>347</v>
      </c>
      <c r="C92" s="56" t="s">
        <v>247</v>
      </c>
      <c r="D92" s="55" t="s">
        <v>348</v>
      </c>
    </row>
    <row r="93" ht="18" customHeight="1" spans="1:4" x14ac:dyDescent="0.25">
      <c r="A93" s="54" t="s">
        <v>137</v>
      </c>
      <c r="B93" s="55" t="s">
        <v>137</v>
      </c>
      <c r="C93" s="56" t="s">
        <v>247</v>
      </c>
      <c r="D93" s="55" t="s">
        <v>349</v>
      </c>
    </row>
    <row r="94" ht="30" customHeight="1" spans="1:4" x14ac:dyDescent="0.25">
      <c r="A94" s="51" t="s">
        <v>257</v>
      </c>
      <c r="B94" s="16" t="s">
        <v>350</v>
      </c>
      <c r="C94" s="16"/>
      <c r="D94" s="16"/>
    </row>
    <row r="97" ht="22" customHeight="1" spans="1:4" x14ac:dyDescent="0.25">
      <c r="A97" s="48" t="s">
        <v>351</v>
      </c>
      <c r="B97" s="48"/>
      <c r="C97" s="48"/>
      <c r="D97" s="48"/>
    </row>
    <row r="98" spans="1:4" x14ac:dyDescent="0.25">
      <c r="A98" s="49" t="s">
        <v>32</v>
      </c>
      <c r="B98" s="50" t="s">
        <v>352</v>
      </c>
      <c r="C98" s="50" t="s">
        <v>338</v>
      </c>
      <c r="D98" s="50" t="s">
        <v>157</v>
      </c>
    </row>
    <row r="99" ht="18" customHeight="1" spans="1:4" x14ac:dyDescent="0.25">
      <c r="A99" s="51" t="s">
        <v>239</v>
      </c>
      <c r="B99" s="16" t="s">
        <v>353</v>
      </c>
      <c r="C99" s="16"/>
      <c r="D99" s="16"/>
    </row>
    <row r="100" ht="30" customHeight="1" spans="1:4" x14ac:dyDescent="0.25">
      <c r="A100" s="51" t="s">
        <v>241</v>
      </c>
      <c r="B100" s="16" t="s">
        <v>354</v>
      </c>
      <c r="C100" s="16"/>
      <c r="D100" s="16"/>
    </row>
    <row r="101" spans="1:4" x14ac:dyDescent="0.25">
      <c r="A101" s="52" t="s">
        <v>243</v>
      </c>
      <c r="B101" s="53"/>
      <c r="C101" s="52" t="s">
        <v>244</v>
      </c>
      <c r="D101" s="53"/>
    </row>
    <row r="102" ht="18" customHeight="1" spans="1:4" x14ac:dyDescent="0.25">
      <c r="A102" s="54" t="s">
        <v>245</v>
      </c>
      <c r="B102" s="55" t="s">
        <v>355</v>
      </c>
      <c r="C102" s="56" t="s">
        <v>247</v>
      </c>
      <c r="D102" s="55" t="s">
        <v>356</v>
      </c>
    </row>
    <row r="103" ht="30" customHeight="1" spans="1:4" x14ac:dyDescent="0.25">
      <c r="A103" s="54" t="s">
        <v>245</v>
      </c>
      <c r="B103" s="55" t="s">
        <v>357</v>
      </c>
      <c r="C103" s="56" t="s">
        <v>247</v>
      </c>
      <c r="D103" s="55" t="s">
        <v>358</v>
      </c>
    </row>
    <row r="104" ht="18" customHeight="1" spans="1:4" x14ac:dyDescent="0.25">
      <c r="A104" s="54" t="s">
        <v>245</v>
      </c>
      <c r="B104" s="55" t="s">
        <v>359</v>
      </c>
      <c r="C104" s="56" t="s">
        <v>247</v>
      </c>
      <c r="D104" s="55" t="s">
        <v>360</v>
      </c>
    </row>
    <row r="105" ht="30" customHeight="1" spans="1:4" x14ac:dyDescent="0.25">
      <c r="A105" s="54" t="s">
        <v>245</v>
      </c>
      <c r="B105" s="55" t="s">
        <v>361</v>
      </c>
      <c r="C105" s="56" t="s">
        <v>247</v>
      </c>
      <c r="D105" s="55" t="s">
        <v>362</v>
      </c>
    </row>
    <row r="106" ht="30" customHeight="1" spans="1:4" x14ac:dyDescent="0.25">
      <c r="A106" s="54" t="s">
        <v>245</v>
      </c>
      <c r="B106" s="55" t="s">
        <v>363</v>
      </c>
      <c r="C106" s="56" t="s">
        <v>247</v>
      </c>
      <c r="D106" s="55" t="s">
        <v>364</v>
      </c>
    </row>
    <row r="107" ht="30" customHeight="1" spans="1:4" x14ac:dyDescent="0.25">
      <c r="A107" s="51" t="s">
        <v>257</v>
      </c>
      <c r="B107" s="16" t="s">
        <v>365</v>
      </c>
      <c r="C107" s="16"/>
      <c r="D107" s="16"/>
    </row>
    <row r="110" ht="22" customHeight="1" spans="1:4" x14ac:dyDescent="0.25">
      <c r="A110" s="48" t="s">
        <v>366</v>
      </c>
      <c r="B110" s="48"/>
      <c r="C110" s="48"/>
      <c r="D110" s="48"/>
    </row>
    <row r="111" spans="1:4" x14ac:dyDescent="0.25">
      <c r="A111" s="49" t="s">
        <v>34</v>
      </c>
      <c r="B111" s="50" t="s">
        <v>367</v>
      </c>
      <c r="C111" s="50" t="s">
        <v>368</v>
      </c>
      <c r="D111" s="50" t="s">
        <v>157</v>
      </c>
    </row>
    <row r="112" ht="18" customHeight="1" spans="1:4" x14ac:dyDescent="0.25">
      <c r="A112" s="51" t="s">
        <v>239</v>
      </c>
      <c r="B112" s="16" t="s">
        <v>369</v>
      </c>
      <c r="C112" s="16"/>
      <c r="D112" s="16"/>
    </row>
    <row r="113" ht="30" customHeight="1" spans="1:4" x14ac:dyDescent="0.25">
      <c r="A113" s="51" t="s">
        <v>241</v>
      </c>
      <c r="B113" s="16" t="s">
        <v>370</v>
      </c>
      <c r="C113" s="16"/>
      <c r="D113" s="16"/>
    </row>
    <row r="114" spans="1:4" x14ac:dyDescent="0.25">
      <c r="A114" s="52" t="s">
        <v>243</v>
      </c>
      <c r="B114" s="53"/>
      <c r="C114" s="52" t="s">
        <v>244</v>
      </c>
      <c r="D114" s="53"/>
    </row>
    <row r="115" ht="30" customHeight="1" spans="1:4" x14ac:dyDescent="0.25">
      <c r="A115" s="54" t="s">
        <v>245</v>
      </c>
      <c r="B115" s="55" t="s">
        <v>371</v>
      </c>
      <c r="C115" s="56" t="s">
        <v>247</v>
      </c>
      <c r="D115" s="55" t="s">
        <v>372</v>
      </c>
    </row>
    <row r="116" ht="30" customHeight="1" spans="1:4" x14ac:dyDescent="0.25">
      <c r="A116" s="54" t="s">
        <v>245</v>
      </c>
      <c r="B116" s="55" t="s">
        <v>373</v>
      </c>
      <c r="C116" s="56" t="s">
        <v>247</v>
      </c>
      <c r="D116" s="55" t="s">
        <v>374</v>
      </c>
    </row>
    <row r="117" ht="30" customHeight="1" spans="1:4" x14ac:dyDescent="0.25">
      <c r="A117" s="54" t="s">
        <v>245</v>
      </c>
      <c r="B117" s="55" t="s">
        <v>375</v>
      </c>
      <c r="C117" s="56" t="s">
        <v>247</v>
      </c>
      <c r="D117" s="55" t="s">
        <v>376</v>
      </c>
    </row>
    <row r="118" ht="18" customHeight="1" spans="1:4" x14ac:dyDescent="0.25">
      <c r="A118" s="54" t="s">
        <v>245</v>
      </c>
      <c r="B118" s="55" t="s">
        <v>377</v>
      </c>
      <c r="C118" s="56" t="s">
        <v>247</v>
      </c>
      <c r="D118" s="55" t="s">
        <v>378</v>
      </c>
    </row>
    <row r="119" ht="30" customHeight="1" spans="1:4" x14ac:dyDescent="0.25">
      <c r="A119" s="54" t="s">
        <v>137</v>
      </c>
      <c r="B119" s="55" t="s">
        <v>137</v>
      </c>
      <c r="C119" s="56" t="s">
        <v>247</v>
      </c>
      <c r="D119" s="55" t="s">
        <v>379</v>
      </c>
    </row>
    <row r="120" ht="18" customHeight="1" spans="1:4" x14ac:dyDescent="0.25">
      <c r="A120" s="54" t="s">
        <v>137</v>
      </c>
      <c r="B120" s="55" t="s">
        <v>137</v>
      </c>
      <c r="C120" s="56" t="s">
        <v>247</v>
      </c>
      <c r="D120" s="55" t="s">
        <v>380</v>
      </c>
    </row>
    <row r="121" ht="30" customHeight="1" spans="1:4" x14ac:dyDescent="0.25">
      <c r="A121" s="51" t="s">
        <v>257</v>
      </c>
      <c r="B121" s="16" t="s">
        <v>381</v>
      </c>
      <c r="C121" s="16"/>
      <c r="D121" s="16"/>
    </row>
    <row r="124" ht="22" customHeight="1" spans="1:4" x14ac:dyDescent="0.25">
      <c r="A124" s="48" t="s">
        <v>382</v>
      </c>
      <c r="B124" s="48"/>
      <c r="C124" s="48"/>
      <c r="D124" s="48"/>
    </row>
    <row r="125" spans="1:4" x14ac:dyDescent="0.25">
      <c r="A125" s="49" t="s">
        <v>37</v>
      </c>
      <c r="B125" s="50" t="s">
        <v>274</v>
      </c>
      <c r="C125" s="50" t="s">
        <v>383</v>
      </c>
      <c r="D125" s="50" t="s">
        <v>133</v>
      </c>
    </row>
    <row r="126" ht="18" customHeight="1" spans="1:4" x14ac:dyDescent="0.25">
      <c r="A126" s="51" t="s">
        <v>239</v>
      </c>
      <c r="B126" s="16" t="s">
        <v>384</v>
      </c>
      <c r="C126" s="16"/>
      <c r="D126" s="16"/>
    </row>
    <row r="127" ht="45" customHeight="1" spans="1:4" x14ac:dyDescent="0.25">
      <c r="A127" s="51" t="s">
        <v>241</v>
      </c>
      <c r="B127" s="16" t="s">
        <v>385</v>
      </c>
      <c r="C127" s="16"/>
      <c r="D127" s="16"/>
    </row>
    <row r="128" spans="1:4" x14ac:dyDescent="0.25">
      <c r="A128" s="52" t="s">
        <v>243</v>
      </c>
      <c r="B128" s="53"/>
      <c r="C128" s="52" t="s">
        <v>244</v>
      </c>
      <c r="D128" s="53"/>
    </row>
    <row r="129" ht="30" customHeight="1" spans="1:4" x14ac:dyDescent="0.25">
      <c r="A129" s="54" t="s">
        <v>245</v>
      </c>
      <c r="B129" s="55" t="s">
        <v>386</v>
      </c>
      <c r="C129" s="56" t="s">
        <v>247</v>
      </c>
      <c r="D129" s="55" t="s">
        <v>387</v>
      </c>
    </row>
    <row r="130" ht="30" customHeight="1" spans="1:4" x14ac:dyDescent="0.25">
      <c r="A130" s="54" t="s">
        <v>245</v>
      </c>
      <c r="B130" s="55" t="s">
        <v>388</v>
      </c>
      <c r="C130" s="56" t="s">
        <v>247</v>
      </c>
      <c r="D130" s="55" t="s">
        <v>389</v>
      </c>
    </row>
    <row r="131" ht="30" customHeight="1" spans="1:4" x14ac:dyDescent="0.25">
      <c r="A131" s="54" t="s">
        <v>245</v>
      </c>
      <c r="B131" s="55" t="s">
        <v>390</v>
      </c>
      <c r="C131" s="56" t="s">
        <v>247</v>
      </c>
      <c r="D131" s="55" t="s">
        <v>391</v>
      </c>
    </row>
    <row r="132" ht="30" customHeight="1" spans="1:4" x14ac:dyDescent="0.25">
      <c r="A132" s="54" t="s">
        <v>245</v>
      </c>
      <c r="B132" s="55" t="s">
        <v>392</v>
      </c>
      <c r="C132" s="56" t="s">
        <v>247</v>
      </c>
      <c r="D132" s="55" t="s">
        <v>393</v>
      </c>
    </row>
    <row r="133" ht="30" customHeight="1" spans="1:4" x14ac:dyDescent="0.25">
      <c r="A133" s="54" t="s">
        <v>245</v>
      </c>
      <c r="B133" s="55" t="s">
        <v>394</v>
      </c>
      <c r="C133" s="56" t="s">
        <v>247</v>
      </c>
      <c r="D133" s="55" t="s">
        <v>395</v>
      </c>
    </row>
    <row r="134" ht="30" customHeight="1" spans="1:4" x14ac:dyDescent="0.25">
      <c r="A134" s="51" t="s">
        <v>257</v>
      </c>
      <c r="B134" s="16" t="s">
        <v>396</v>
      </c>
      <c r="C134" s="16"/>
      <c r="D134" s="16"/>
    </row>
  </sheetData>
  <mergeCells count="40">
    <mergeCell ref="A4:D4"/>
    <mergeCell ref="B6:D6"/>
    <mergeCell ref="B7:D7"/>
    <mergeCell ref="B14:D14"/>
    <mergeCell ref="A17:D17"/>
    <mergeCell ref="B19:D19"/>
    <mergeCell ref="B20:D20"/>
    <mergeCell ref="B27:D27"/>
    <mergeCell ref="A30:D30"/>
    <mergeCell ref="B32:D32"/>
    <mergeCell ref="B33:D33"/>
    <mergeCell ref="B40:D40"/>
    <mergeCell ref="A43:D43"/>
    <mergeCell ref="B45:D45"/>
    <mergeCell ref="B46:D46"/>
    <mergeCell ref="B54:D54"/>
    <mergeCell ref="A57:D57"/>
    <mergeCell ref="B59:D59"/>
    <mergeCell ref="B60:D60"/>
    <mergeCell ref="B68:D68"/>
    <mergeCell ref="A71:D71"/>
    <mergeCell ref="B73:D73"/>
    <mergeCell ref="B74:D74"/>
    <mergeCell ref="B81:D81"/>
    <mergeCell ref="A84:D84"/>
    <mergeCell ref="B86:D86"/>
    <mergeCell ref="B87:D87"/>
    <mergeCell ref="B94:D94"/>
    <mergeCell ref="A97:D97"/>
    <mergeCell ref="B99:D99"/>
    <mergeCell ref="B100:D100"/>
    <mergeCell ref="B107:D107"/>
    <mergeCell ref="A110:D110"/>
    <mergeCell ref="B112:D112"/>
    <mergeCell ref="B113:D113"/>
    <mergeCell ref="B121:D121"/>
    <mergeCell ref="A124:D124"/>
    <mergeCell ref="B126:D126"/>
    <mergeCell ref="B127:D127"/>
    <mergeCell ref="B134:D134"/>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7706E"/>
  </sheetPr>
  <dimension ref="A1:D62"/>
  <sheetViews>
    <sheetView workbookViewId="0" showGridLines="0"/>
  </sheetViews>
  <sheetFormatPr defaultRowHeight="15" outlineLevelRow="0" outlineLevelCol="0" x14ac:dyDescent="55"/>
  <cols>
    <col min="1" max="1" width="10" customWidth="1"/>
    <col min="2" max="2" width="44" customWidth="1"/>
    <col min="3" max="3" width="26" customWidth="1"/>
    <col min="4" max="4" width="60" customWidth="1"/>
  </cols>
  <sheetData>
    <row r="1" ht="28" customHeight="1" spans="1:1" x14ac:dyDescent="0.25">
      <c r="A1" s="1" t="s">
        <v>397</v>
      </c>
    </row>
    <row r="2" spans="1:1" x14ac:dyDescent="0.25">
      <c r="A2" s="2" t="s">
        <v>398</v>
      </c>
    </row>
    <row r="4" ht="20" customHeight="1" spans="1:1" x14ac:dyDescent="0.25">
      <c r="A4" s="4" t="s">
        <v>399</v>
      </c>
    </row>
    <row r="5" ht="34" customHeight="1" spans="1:4" x14ac:dyDescent="0.25">
      <c r="A5" s="5" t="s">
        <v>79</v>
      </c>
      <c r="B5" s="5" t="s">
        <v>103</v>
      </c>
      <c r="C5" s="5" t="s">
        <v>400</v>
      </c>
      <c r="D5" s="5" t="s">
        <v>130</v>
      </c>
    </row>
    <row r="6" spans="1:4" x14ac:dyDescent="0.25">
      <c r="A6" s="6" t="s">
        <v>88</v>
      </c>
      <c r="B6" s="7" t="s">
        <v>20</v>
      </c>
      <c r="C6" s="7" t="s">
        <v>401</v>
      </c>
      <c r="D6" s="39" t="s">
        <v>144</v>
      </c>
    </row>
    <row r="7" spans="1:4" x14ac:dyDescent="0.25">
      <c r="A7" s="6" t="s">
        <v>89</v>
      </c>
      <c r="B7" s="7" t="s">
        <v>36</v>
      </c>
      <c r="C7" s="7" t="s">
        <v>401</v>
      </c>
      <c r="D7" s="39" t="s">
        <v>155</v>
      </c>
    </row>
    <row r="8" spans="1:4" x14ac:dyDescent="0.25">
      <c r="A8" s="6" t="s">
        <v>90</v>
      </c>
      <c r="B8" s="7" t="s">
        <v>33</v>
      </c>
      <c r="C8" s="7" t="s">
        <v>401</v>
      </c>
      <c r="D8" s="39" t="s">
        <v>161</v>
      </c>
    </row>
    <row r="9" spans="1:4" x14ac:dyDescent="0.25">
      <c r="A9" s="6" t="s">
        <v>91</v>
      </c>
      <c r="B9" s="7" t="s">
        <v>31</v>
      </c>
      <c r="C9" s="7" t="s">
        <v>401</v>
      </c>
      <c r="D9" s="39" t="s">
        <v>168</v>
      </c>
    </row>
    <row r="10" spans="1:4" x14ac:dyDescent="0.25">
      <c r="A10" s="6" t="s">
        <v>92</v>
      </c>
      <c r="B10" s="7" t="s">
        <v>12</v>
      </c>
      <c r="C10" s="7" t="s">
        <v>401</v>
      </c>
      <c r="D10" s="39" t="s">
        <v>176</v>
      </c>
    </row>
    <row r="11" spans="1:4" x14ac:dyDescent="0.25">
      <c r="A11" s="6" t="s">
        <v>93</v>
      </c>
      <c r="B11" s="7" t="s">
        <v>15</v>
      </c>
      <c r="C11" s="7" t="s">
        <v>401</v>
      </c>
      <c r="D11" s="39" t="s">
        <v>182</v>
      </c>
    </row>
    <row r="12" spans="1:4" x14ac:dyDescent="0.25">
      <c r="A12" s="6" t="s">
        <v>94</v>
      </c>
      <c r="B12" s="7" t="s">
        <v>17</v>
      </c>
      <c r="C12" s="7" t="s">
        <v>401</v>
      </c>
      <c r="D12" s="39" t="s">
        <v>190</v>
      </c>
    </row>
    <row r="13" spans="1:4" x14ac:dyDescent="0.25">
      <c r="A13" s="6" t="s">
        <v>95</v>
      </c>
      <c r="B13" s="7" t="s">
        <v>23</v>
      </c>
      <c r="C13" s="7" t="s">
        <v>401</v>
      </c>
      <c r="D13" s="39" t="s">
        <v>195</v>
      </c>
    </row>
    <row r="14" spans="1:4" x14ac:dyDescent="0.25">
      <c r="A14" s="6" t="s">
        <v>96</v>
      </c>
      <c r="B14" s="7" t="s">
        <v>26</v>
      </c>
      <c r="C14" s="7" t="s">
        <v>401</v>
      </c>
      <c r="D14" s="39" t="s">
        <v>202</v>
      </c>
    </row>
    <row r="15" spans="1:4" x14ac:dyDescent="0.25">
      <c r="A15" s="6" t="s">
        <v>97</v>
      </c>
      <c r="B15" s="7" t="s">
        <v>28</v>
      </c>
      <c r="C15" s="7" t="s">
        <v>401</v>
      </c>
      <c r="D15" s="39" t="s">
        <v>207</v>
      </c>
    </row>
    <row r="17" ht="20" customHeight="1" spans="1:1" x14ac:dyDescent="0.25">
      <c r="A17" s="4" t="s">
        <v>402</v>
      </c>
    </row>
    <row r="18" spans="1:1" x14ac:dyDescent="0.25">
      <c r="A18" s="57" t="s">
        <v>403</v>
      </c>
    </row>
    <row r="19" spans="1:4" x14ac:dyDescent="0.25">
      <c r="A19" s="34" t="s">
        <v>404</v>
      </c>
      <c r="B19" s="34"/>
      <c r="C19" s="34"/>
      <c r="D19" s="34"/>
    </row>
    <row r="20" spans="1:4" x14ac:dyDescent="0.25">
      <c r="A20" s="34"/>
      <c r="B20" s="34"/>
      <c r="C20" s="34"/>
      <c r="D20" s="34"/>
    </row>
    <row r="21" spans="1:4" x14ac:dyDescent="0.25">
      <c r="A21" s="34"/>
      <c r="B21" s="34"/>
      <c r="C21" s="34"/>
      <c r="D21" s="34"/>
    </row>
    <row r="22" spans="1:4" x14ac:dyDescent="0.25">
      <c r="A22" s="34"/>
      <c r="B22" s="34"/>
      <c r="C22" s="34"/>
      <c r="D22" s="34"/>
    </row>
    <row r="24" spans="1:1" x14ac:dyDescent="0.25">
      <c r="A24" s="57" t="s">
        <v>405</v>
      </c>
    </row>
    <row r="25" spans="1:4" x14ac:dyDescent="0.25">
      <c r="A25" s="34" t="s">
        <v>406</v>
      </c>
      <c r="B25" s="34"/>
      <c r="C25" s="34"/>
      <c r="D25" s="34"/>
    </row>
    <row r="26" spans="1:4" x14ac:dyDescent="0.25">
      <c r="A26" s="34"/>
      <c r="B26" s="34"/>
      <c r="C26" s="34"/>
      <c r="D26" s="34"/>
    </row>
    <row r="27" spans="1:4" x14ac:dyDescent="0.25">
      <c r="A27" s="34"/>
      <c r="B27" s="34"/>
      <c r="C27" s="34"/>
      <c r="D27" s="34"/>
    </row>
    <row r="28" spans="1:4" x14ac:dyDescent="0.25">
      <c r="A28" s="34"/>
      <c r="B28" s="34"/>
      <c r="C28" s="34"/>
      <c r="D28" s="34"/>
    </row>
    <row r="29" spans="1:4" x14ac:dyDescent="0.25">
      <c r="A29" s="34"/>
      <c r="B29" s="34"/>
      <c r="C29" s="34"/>
      <c r="D29" s="34"/>
    </row>
    <row r="31" spans="1:1" x14ac:dyDescent="0.25">
      <c r="A31" s="57" t="s">
        <v>407</v>
      </c>
    </row>
    <row r="32" spans="1:4" x14ac:dyDescent="0.25">
      <c r="A32" s="34" t="s">
        <v>408</v>
      </c>
      <c r="B32" s="34"/>
      <c r="C32" s="34"/>
      <c r="D32" s="34"/>
    </row>
    <row r="33" spans="1:4" x14ac:dyDescent="0.25">
      <c r="A33" s="34"/>
      <c r="B33" s="34"/>
      <c r="C33" s="34"/>
      <c r="D33" s="34"/>
    </row>
    <row r="34" spans="1:4" x14ac:dyDescent="0.25">
      <c r="A34" s="34"/>
      <c r="B34" s="34"/>
      <c r="C34" s="34"/>
      <c r="D34" s="34"/>
    </row>
    <row r="35" spans="1:4" x14ac:dyDescent="0.25">
      <c r="A35" s="34"/>
      <c r="B35" s="34"/>
      <c r="C35" s="34"/>
      <c r="D35" s="34"/>
    </row>
    <row r="37" spans="1:1" x14ac:dyDescent="0.25">
      <c r="A37" s="57" t="s">
        <v>409</v>
      </c>
    </row>
    <row r="38" spans="1:4" x14ac:dyDescent="0.25">
      <c r="A38" s="34" t="s">
        <v>410</v>
      </c>
      <c r="B38" s="34"/>
      <c r="C38" s="34"/>
      <c r="D38" s="34"/>
    </row>
    <row r="39" spans="1:4" x14ac:dyDescent="0.25">
      <c r="A39" s="34"/>
      <c r="B39" s="34"/>
      <c r="C39" s="34"/>
      <c r="D39" s="34"/>
    </row>
    <row r="40" spans="1:4" x14ac:dyDescent="0.25">
      <c r="A40" s="34"/>
      <c r="B40" s="34"/>
      <c r="C40" s="34"/>
      <c r="D40" s="34"/>
    </row>
    <row r="41" spans="1:4" x14ac:dyDescent="0.25">
      <c r="A41" s="34"/>
      <c r="B41" s="34"/>
      <c r="C41" s="34"/>
      <c r="D41" s="34"/>
    </row>
    <row r="42" spans="1:4" x14ac:dyDescent="0.25">
      <c r="A42" s="34"/>
      <c r="B42" s="34"/>
      <c r="C42" s="34"/>
      <c r="D42" s="34"/>
    </row>
    <row r="43" spans="1:4" x14ac:dyDescent="0.25">
      <c r="A43" s="34"/>
      <c r="B43" s="34"/>
      <c r="C43" s="34"/>
      <c r="D43" s="34"/>
    </row>
    <row r="44" spans="1:4" x14ac:dyDescent="0.25">
      <c r="A44" s="34"/>
      <c r="B44" s="34"/>
      <c r="C44" s="34"/>
      <c r="D44" s="34"/>
    </row>
    <row r="46" spans="1:1" x14ac:dyDescent="0.25">
      <c r="A46" s="57" t="s">
        <v>411</v>
      </c>
    </row>
    <row r="47" spans="1:4" x14ac:dyDescent="0.25">
      <c r="A47" s="34" t="s">
        <v>412</v>
      </c>
      <c r="B47" s="34"/>
      <c r="C47" s="34"/>
      <c r="D47" s="34"/>
    </row>
    <row r="48" spans="1:4" x14ac:dyDescent="0.25">
      <c r="A48" s="34"/>
      <c r="B48" s="34"/>
      <c r="C48" s="34"/>
      <c r="D48" s="34"/>
    </row>
    <row r="49" spans="1:4" x14ac:dyDescent="0.25">
      <c r="A49" s="34"/>
      <c r="B49" s="34"/>
      <c r="C49" s="34"/>
      <c r="D49" s="34"/>
    </row>
    <row r="50" spans="1:4" x14ac:dyDescent="0.25">
      <c r="A50" s="34"/>
      <c r="B50" s="34"/>
      <c r="C50" s="34"/>
      <c r="D50" s="34"/>
    </row>
    <row r="51" spans="1:4" x14ac:dyDescent="0.25">
      <c r="A51" s="34"/>
      <c r="B51" s="34"/>
      <c r="C51" s="34"/>
      <c r="D51" s="34"/>
    </row>
    <row r="53" spans="1:1" x14ac:dyDescent="0.25">
      <c r="A53" s="57" t="s">
        <v>413</v>
      </c>
    </row>
    <row r="54" spans="1:4" x14ac:dyDescent="0.25">
      <c r="A54" s="34" t="s">
        <v>414</v>
      </c>
      <c r="B54" s="34"/>
      <c r="C54" s="34"/>
      <c r="D54" s="34"/>
    </row>
    <row r="55" spans="1:4" x14ac:dyDescent="0.25">
      <c r="A55" s="34"/>
      <c r="B55" s="34"/>
      <c r="C55" s="34"/>
      <c r="D55" s="34"/>
    </row>
    <row r="56" spans="1:4" x14ac:dyDescent="0.25">
      <c r="A56" s="34"/>
      <c r="B56" s="34"/>
      <c r="C56" s="34"/>
      <c r="D56" s="34"/>
    </row>
    <row r="58" spans="1:1" x14ac:dyDescent="0.25">
      <c r="A58" s="57" t="s">
        <v>415</v>
      </c>
    </row>
    <row r="59" spans="1:4" x14ac:dyDescent="0.25">
      <c r="A59" s="34" t="s">
        <v>416</v>
      </c>
      <c r="B59" s="34"/>
      <c r="C59" s="34"/>
      <c r="D59" s="34"/>
    </row>
    <row r="60" spans="1:4" x14ac:dyDescent="0.25">
      <c r="A60" s="34"/>
      <c r="B60" s="34"/>
      <c r="C60" s="34"/>
      <c r="D60" s="34"/>
    </row>
    <row r="61" spans="1:4" x14ac:dyDescent="0.25">
      <c r="A61" s="34"/>
      <c r="B61" s="34"/>
      <c r="C61" s="34"/>
      <c r="D61" s="34"/>
    </row>
    <row r="62" spans="1:4" x14ac:dyDescent="0.25">
      <c r="A62" s="34"/>
      <c r="B62" s="34"/>
      <c r="C62" s="34"/>
      <c r="D62" s="34"/>
    </row>
  </sheetData>
  <mergeCells count="7">
    <mergeCell ref="A19:D22"/>
    <mergeCell ref="A25:D29"/>
    <mergeCell ref="A32:D35"/>
    <mergeCell ref="A38:D44"/>
    <mergeCell ref="A47:D51"/>
    <mergeCell ref="A54:D56"/>
    <mergeCell ref="A59:D62"/>
  </mergeCells>
  <hyperlinks>
    <hyperlink ref="D6" r:id="rId1"/>
    <hyperlink ref="D7" r:id="rId2"/>
    <hyperlink ref="D8" r:id="rId3"/>
    <hyperlink ref="D9" r:id="rId4"/>
    <hyperlink ref="D10" r:id="rId5"/>
    <hyperlink ref="D11" r:id="rId6"/>
    <hyperlink ref="D12" r:id="rId7"/>
    <hyperlink ref="D13" r:id="rId8"/>
    <hyperlink ref="D14" r:id="rId9"/>
    <hyperlink ref="D15" r:id="rId10"/>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Dashboard</vt:lpstr>
      <vt:lpstr>Scoring</vt:lpstr>
      <vt:lpstr>Comparison</vt:lpstr>
      <vt:lpstr>Ongoing costs</vt:lpstr>
      <vt:lpstr>Pros and cons</vt:lpstr>
      <vt:lpstr>Sources and method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Property priorities</dc:creator>
  <dc:title/>
  <dc:subject/>
  <dc:description/>
  <cp:keywords/>
  <cp:category/>
  <cp:lastModifiedBy>Unknown</cp:lastModifiedBy>
  <dcterms:created xsi:type="dcterms:W3CDTF">2026-09-02T09:00:00Z</dcterms:created>
  <dcterms:modified xsi:type="dcterms:W3CDTF">2026-09-03T11:37:41Z</dcterms:modified>
</cp:coreProperties>
</file>